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gif" ContentType="image/gif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0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Volumes/Macintosh HD2/Dropbox/Sites/atms411/general/class2017/"/>
    </mc:Choice>
  </mc:AlternateContent>
  <bookViews>
    <workbookView xWindow="0" yWindow="460" windowWidth="38400" windowHeight="21060" tabRatio="500" activeTab="3"/>
  </bookViews>
  <sheets>
    <sheet name="CAPEtheory" sheetId="4" r:id="rId1"/>
    <sheet name="PrecipWaterTheory" sheetId="6" r:id="rId2"/>
    <sheet name="ExampleSounding" sheetId="5" r:id="rId3"/>
    <sheet name="CalcT_Along_MoistAdiabat" sheetId="1" r:id="rId4"/>
  </sheets>
  <definedNames>
    <definedName name="solver_adj" localSheetId="3" hidden="1">CalcT_Along_MoistAdiabat!$J$3:$J$37</definedName>
    <definedName name="solver_cvg" localSheetId="3" hidden="1">0.0001</definedName>
    <definedName name="solver_drv" localSheetId="3" hidden="1">1</definedName>
    <definedName name="solver_eng" localSheetId="3" hidden="1">1</definedName>
    <definedName name="solver_itr" localSheetId="3" hidden="1">2147483647</definedName>
    <definedName name="solver_lin" localSheetId="3" hidden="1">2</definedName>
    <definedName name="solver_mip" localSheetId="3" hidden="1">2147483647</definedName>
    <definedName name="solver_mni" localSheetId="3" hidden="1">30</definedName>
    <definedName name="solver_mrt" localSheetId="3" hidden="1">0.075</definedName>
    <definedName name="solver_msl" localSheetId="3" hidden="1">2</definedName>
    <definedName name="solver_neg" localSheetId="3" hidden="1">1</definedName>
    <definedName name="solver_nod" localSheetId="3" hidden="1">2147483647</definedName>
    <definedName name="solver_num" localSheetId="3" hidden="1">0</definedName>
    <definedName name="solver_opt" localSheetId="3" hidden="1">CalcT_Along_MoistAdiabat!$I$1</definedName>
    <definedName name="solver_pre" localSheetId="3" hidden="1">0.000001</definedName>
    <definedName name="solver_rbv" localSheetId="3" hidden="1">1</definedName>
    <definedName name="solver_rlx" localSheetId="3" hidden="1">1</definedName>
    <definedName name="solver_rsd" localSheetId="3" hidden="1">0</definedName>
    <definedName name="solver_scl" localSheetId="3" hidden="1">2</definedName>
    <definedName name="solver_sho" localSheetId="3" hidden="1">2</definedName>
    <definedName name="solver_ssz" localSheetId="3" hidden="1">100</definedName>
    <definedName name="solver_tim" localSheetId="3" hidden="1">2147483647</definedName>
    <definedName name="solver_tol" localSheetId="3" hidden="1">0.01</definedName>
    <definedName name="solver_typ" localSheetId="3" hidden="1">3</definedName>
    <definedName name="solver_val" localSheetId="3" hidden="1">0</definedName>
    <definedName name="solver_ver" localSheetId="3" hidden="1">2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" i="1" l="1"/>
  <c r="F3" i="1"/>
  <c r="G3" i="1"/>
  <c r="H3" i="1"/>
  <c r="I3" i="1"/>
  <c r="E4" i="1"/>
  <c r="F4" i="1"/>
  <c r="G4" i="1"/>
  <c r="H4" i="1"/>
  <c r="I4" i="1"/>
  <c r="E5" i="1"/>
  <c r="F5" i="1"/>
  <c r="G5" i="1"/>
  <c r="H5" i="1"/>
  <c r="I5" i="1"/>
  <c r="E6" i="1"/>
  <c r="F6" i="1"/>
  <c r="G6" i="1"/>
  <c r="H6" i="1"/>
  <c r="I6" i="1"/>
  <c r="E7" i="1"/>
  <c r="F7" i="1"/>
  <c r="G7" i="1"/>
  <c r="H7" i="1"/>
  <c r="I7" i="1"/>
  <c r="E8" i="1"/>
  <c r="F8" i="1"/>
  <c r="G8" i="1"/>
  <c r="H8" i="1"/>
  <c r="I8" i="1"/>
  <c r="E9" i="1"/>
  <c r="F9" i="1"/>
  <c r="G9" i="1"/>
  <c r="H9" i="1"/>
  <c r="I9" i="1"/>
  <c r="E10" i="1"/>
  <c r="F10" i="1"/>
  <c r="G10" i="1"/>
  <c r="H10" i="1"/>
  <c r="I10" i="1"/>
  <c r="E11" i="1"/>
  <c r="F11" i="1"/>
  <c r="G11" i="1"/>
  <c r="H11" i="1"/>
  <c r="I11" i="1"/>
  <c r="E12" i="1"/>
  <c r="F12" i="1"/>
  <c r="G12" i="1"/>
  <c r="H12" i="1"/>
  <c r="I12" i="1"/>
  <c r="E13" i="1"/>
  <c r="F13" i="1"/>
  <c r="G13" i="1"/>
  <c r="H13" i="1"/>
  <c r="I13" i="1"/>
  <c r="E14" i="1"/>
  <c r="F14" i="1"/>
  <c r="G14" i="1"/>
  <c r="H14" i="1"/>
  <c r="I14" i="1"/>
  <c r="E15" i="1"/>
  <c r="F15" i="1"/>
  <c r="G15" i="1"/>
  <c r="H15" i="1"/>
  <c r="I15" i="1"/>
  <c r="E16" i="1"/>
  <c r="F16" i="1"/>
  <c r="G16" i="1"/>
  <c r="H16" i="1"/>
  <c r="I16" i="1"/>
  <c r="E17" i="1"/>
  <c r="F17" i="1"/>
  <c r="G17" i="1"/>
  <c r="H17" i="1"/>
  <c r="I17" i="1"/>
  <c r="E18" i="1"/>
  <c r="F18" i="1"/>
  <c r="G18" i="1"/>
  <c r="H18" i="1"/>
  <c r="I18" i="1"/>
  <c r="E19" i="1"/>
  <c r="F19" i="1"/>
  <c r="G19" i="1"/>
  <c r="H19" i="1"/>
  <c r="I19" i="1"/>
  <c r="E20" i="1"/>
  <c r="F20" i="1"/>
  <c r="G20" i="1"/>
  <c r="H20" i="1"/>
  <c r="I20" i="1"/>
  <c r="E21" i="1"/>
  <c r="F21" i="1"/>
  <c r="G21" i="1"/>
  <c r="H21" i="1"/>
  <c r="I21" i="1"/>
  <c r="E22" i="1"/>
  <c r="F22" i="1"/>
  <c r="G22" i="1"/>
  <c r="H22" i="1"/>
  <c r="I22" i="1"/>
  <c r="E23" i="1"/>
  <c r="F23" i="1"/>
  <c r="G23" i="1"/>
  <c r="H23" i="1"/>
  <c r="I23" i="1"/>
  <c r="E24" i="1"/>
  <c r="F24" i="1"/>
  <c r="G24" i="1"/>
  <c r="H24" i="1"/>
  <c r="I24" i="1"/>
  <c r="E25" i="1"/>
  <c r="F25" i="1"/>
  <c r="G25" i="1"/>
  <c r="H25" i="1"/>
  <c r="I25" i="1"/>
  <c r="E26" i="1"/>
  <c r="F26" i="1"/>
  <c r="G26" i="1"/>
  <c r="H26" i="1"/>
  <c r="I26" i="1"/>
  <c r="E27" i="1"/>
  <c r="F27" i="1"/>
  <c r="G27" i="1"/>
  <c r="H27" i="1"/>
  <c r="I27" i="1"/>
  <c r="E28" i="1"/>
  <c r="F28" i="1"/>
  <c r="G28" i="1"/>
  <c r="H28" i="1"/>
  <c r="I28" i="1"/>
  <c r="E29" i="1"/>
  <c r="F29" i="1"/>
  <c r="G29" i="1"/>
  <c r="H29" i="1"/>
  <c r="I29" i="1"/>
  <c r="E30" i="1"/>
  <c r="F30" i="1"/>
  <c r="G30" i="1"/>
  <c r="H30" i="1"/>
  <c r="I30" i="1"/>
  <c r="E31" i="1"/>
  <c r="F31" i="1"/>
  <c r="G31" i="1"/>
  <c r="H31" i="1"/>
  <c r="I31" i="1"/>
  <c r="E32" i="1"/>
  <c r="F32" i="1"/>
  <c r="G32" i="1"/>
  <c r="H32" i="1"/>
  <c r="I32" i="1"/>
  <c r="E33" i="1"/>
  <c r="F33" i="1"/>
  <c r="G33" i="1"/>
  <c r="H33" i="1"/>
  <c r="I33" i="1"/>
  <c r="E34" i="1"/>
  <c r="F34" i="1"/>
  <c r="G34" i="1"/>
  <c r="H34" i="1"/>
  <c r="I34" i="1"/>
  <c r="E35" i="1"/>
  <c r="F35" i="1"/>
  <c r="G35" i="1"/>
  <c r="H35" i="1"/>
  <c r="I35" i="1"/>
  <c r="E36" i="1"/>
  <c r="F36" i="1"/>
  <c r="G36" i="1"/>
  <c r="H36" i="1"/>
  <c r="I36" i="1"/>
  <c r="E37" i="1"/>
  <c r="F37" i="1"/>
  <c r="G37" i="1"/>
  <c r="H37" i="1"/>
  <c r="I37" i="1"/>
  <c r="I1" i="1"/>
  <c r="T2" i="5"/>
  <c r="O19" i="5"/>
  <c r="P19" i="5"/>
  <c r="O20" i="5"/>
  <c r="P20" i="5"/>
  <c r="O21" i="5"/>
  <c r="P21" i="5"/>
  <c r="O22" i="5"/>
  <c r="P22" i="5"/>
  <c r="O23" i="5"/>
  <c r="P23" i="5"/>
  <c r="O24" i="5"/>
  <c r="P24" i="5"/>
  <c r="O25" i="5"/>
  <c r="P25" i="5"/>
  <c r="O26" i="5"/>
  <c r="P26" i="5"/>
  <c r="O27" i="5"/>
  <c r="P27" i="5"/>
  <c r="O28" i="5"/>
  <c r="P28" i="5"/>
  <c r="O29" i="5"/>
  <c r="P29" i="5"/>
  <c r="O30" i="5"/>
  <c r="P30" i="5"/>
  <c r="O31" i="5"/>
  <c r="P31" i="5"/>
  <c r="O32" i="5"/>
  <c r="P32" i="5"/>
  <c r="O33" i="5"/>
  <c r="P33" i="5"/>
  <c r="O34" i="5"/>
  <c r="P34" i="5"/>
  <c r="O35" i="5"/>
  <c r="P35" i="5"/>
  <c r="O36" i="5"/>
  <c r="P36" i="5"/>
  <c r="O37" i="5"/>
  <c r="P37" i="5"/>
  <c r="O38" i="5"/>
  <c r="P38" i="5"/>
  <c r="O39" i="5"/>
  <c r="P39" i="5"/>
  <c r="O40" i="5"/>
  <c r="P40" i="5"/>
  <c r="O41" i="5"/>
  <c r="P41" i="5"/>
  <c r="O42" i="5"/>
  <c r="P42" i="5"/>
  <c r="O43" i="5"/>
  <c r="P43" i="5"/>
  <c r="O44" i="5"/>
  <c r="P44" i="5"/>
  <c r="O45" i="5"/>
  <c r="P45" i="5"/>
  <c r="O46" i="5"/>
  <c r="P46" i="5"/>
  <c r="O47" i="5"/>
  <c r="P47" i="5"/>
  <c r="O48" i="5"/>
  <c r="P48" i="5"/>
  <c r="O49" i="5"/>
  <c r="P49" i="5"/>
  <c r="O50" i="5"/>
  <c r="P50" i="5"/>
  <c r="O51" i="5"/>
  <c r="P51" i="5"/>
  <c r="O52" i="5"/>
  <c r="P52" i="5"/>
  <c r="O53" i="5"/>
  <c r="P53" i="5"/>
  <c r="P2" i="5"/>
  <c r="R8" i="5"/>
  <c r="S8" i="5"/>
  <c r="N8" i="5"/>
  <c r="T8" i="5"/>
  <c r="R9" i="5"/>
  <c r="S9" i="5"/>
  <c r="N9" i="5"/>
  <c r="T9" i="5"/>
  <c r="R10" i="5"/>
  <c r="S10" i="5"/>
  <c r="N10" i="5"/>
  <c r="T10" i="5"/>
  <c r="R11" i="5"/>
  <c r="S11" i="5"/>
  <c r="N11" i="5"/>
  <c r="T11" i="5"/>
  <c r="R12" i="5"/>
  <c r="S12" i="5"/>
  <c r="N12" i="5"/>
  <c r="T12" i="5"/>
  <c r="R13" i="5"/>
  <c r="S13" i="5"/>
  <c r="N13" i="5"/>
  <c r="T13" i="5"/>
  <c r="R14" i="5"/>
  <c r="S14" i="5"/>
  <c r="N14" i="5"/>
  <c r="T14" i="5"/>
  <c r="R15" i="5"/>
  <c r="S15" i="5"/>
  <c r="N15" i="5"/>
  <c r="T15" i="5"/>
  <c r="R16" i="5"/>
  <c r="S16" i="5"/>
  <c r="N16" i="5"/>
  <c r="T16" i="5"/>
  <c r="R17" i="5"/>
  <c r="S17" i="5"/>
  <c r="N17" i="5"/>
  <c r="T17" i="5"/>
  <c r="R18" i="5"/>
  <c r="S18" i="5"/>
  <c r="N18" i="5"/>
  <c r="T18" i="5"/>
  <c r="R19" i="5"/>
  <c r="S19" i="5"/>
  <c r="N19" i="5"/>
  <c r="T19" i="5"/>
  <c r="R20" i="5"/>
  <c r="S20" i="5"/>
  <c r="N20" i="5"/>
  <c r="T20" i="5"/>
  <c r="R21" i="5"/>
  <c r="S21" i="5"/>
  <c r="N21" i="5"/>
  <c r="T21" i="5"/>
  <c r="R22" i="5"/>
  <c r="S22" i="5"/>
  <c r="N22" i="5"/>
  <c r="T22" i="5"/>
  <c r="R23" i="5"/>
  <c r="S23" i="5"/>
  <c r="N23" i="5"/>
  <c r="T23" i="5"/>
  <c r="R24" i="5"/>
  <c r="S24" i="5"/>
  <c r="N24" i="5"/>
  <c r="T24" i="5"/>
  <c r="R25" i="5"/>
  <c r="S25" i="5"/>
  <c r="N25" i="5"/>
  <c r="T25" i="5"/>
  <c r="R26" i="5"/>
  <c r="S26" i="5"/>
  <c r="N26" i="5"/>
  <c r="T26" i="5"/>
  <c r="R27" i="5"/>
  <c r="S27" i="5"/>
  <c r="N27" i="5"/>
  <c r="T27" i="5"/>
  <c r="R28" i="5"/>
  <c r="S28" i="5"/>
  <c r="N28" i="5"/>
  <c r="T28" i="5"/>
  <c r="R29" i="5"/>
  <c r="S29" i="5"/>
  <c r="N29" i="5"/>
  <c r="T29" i="5"/>
  <c r="R30" i="5"/>
  <c r="S30" i="5"/>
  <c r="N30" i="5"/>
  <c r="T30" i="5"/>
  <c r="R31" i="5"/>
  <c r="S31" i="5"/>
  <c r="N31" i="5"/>
  <c r="T31" i="5"/>
  <c r="R32" i="5"/>
  <c r="S32" i="5"/>
  <c r="N32" i="5"/>
  <c r="T32" i="5"/>
  <c r="R33" i="5"/>
  <c r="S33" i="5"/>
  <c r="N33" i="5"/>
  <c r="T33" i="5"/>
  <c r="R34" i="5"/>
  <c r="S34" i="5"/>
  <c r="N34" i="5"/>
  <c r="T34" i="5"/>
  <c r="R35" i="5"/>
  <c r="S35" i="5"/>
  <c r="N35" i="5"/>
  <c r="T35" i="5"/>
  <c r="R36" i="5"/>
  <c r="S36" i="5"/>
  <c r="N36" i="5"/>
  <c r="T36" i="5"/>
  <c r="R37" i="5"/>
  <c r="S37" i="5"/>
  <c r="N37" i="5"/>
  <c r="T37" i="5"/>
  <c r="R38" i="5"/>
  <c r="S38" i="5"/>
  <c r="N38" i="5"/>
  <c r="T38" i="5"/>
  <c r="R39" i="5"/>
  <c r="S39" i="5"/>
  <c r="N39" i="5"/>
  <c r="T39" i="5"/>
  <c r="R40" i="5"/>
  <c r="S40" i="5"/>
  <c r="N40" i="5"/>
  <c r="T40" i="5"/>
  <c r="R41" i="5"/>
  <c r="S41" i="5"/>
  <c r="N41" i="5"/>
  <c r="T41" i="5"/>
  <c r="R42" i="5"/>
  <c r="S42" i="5"/>
  <c r="N42" i="5"/>
  <c r="T42" i="5"/>
  <c r="R43" i="5"/>
  <c r="S43" i="5"/>
  <c r="N43" i="5"/>
  <c r="T43" i="5"/>
  <c r="R44" i="5"/>
  <c r="S44" i="5"/>
  <c r="N44" i="5"/>
  <c r="T44" i="5"/>
  <c r="R45" i="5"/>
  <c r="S45" i="5"/>
  <c r="N45" i="5"/>
  <c r="T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7" i="5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A3" i="1"/>
  <c r="B14" i="1"/>
  <c r="B12" i="1"/>
  <c r="B10" i="1"/>
  <c r="B8" i="1"/>
  <c r="K4" i="1"/>
  <c r="M4" i="1"/>
  <c r="K5" i="1"/>
  <c r="M5" i="1"/>
  <c r="K6" i="1"/>
  <c r="M6" i="1"/>
  <c r="K7" i="1"/>
  <c r="M7" i="1"/>
  <c r="K8" i="1"/>
  <c r="M8" i="1"/>
  <c r="K9" i="1"/>
  <c r="M9" i="1"/>
  <c r="K10" i="1"/>
  <c r="M10" i="1"/>
  <c r="K11" i="1"/>
  <c r="M11" i="1"/>
  <c r="K12" i="1"/>
  <c r="M12" i="1"/>
  <c r="K13" i="1"/>
  <c r="M13" i="1"/>
  <c r="K14" i="1"/>
  <c r="M14" i="1"/>
  <c r="K15" i="1"/>
  <c r="M15" i="1"/>
  <c r="K16" i="1"/>
  <c r="M16" i="1"/>
  <c r="K17" i="1"/>
  <c r="M17" i="1"/>
  <c r="K18" i="1"/>
  <c r="M18" i="1"/>
  <c r="K19" i="1"/>
  <c r="M19" i="1"/>
  <c r="K20" i="1"/>
  <c r="M20" i="1"/>
  <c r="K21" i="1"/>
  <c r="M21" i="1"/>
  <c r="K22" i="1"/>
  <c r="M22" i="1"/>
  <c r="K23" i="1"/>
  <c r="M23" i="1"/>
  <c r="K24" i="1"/>
  <c r="M24" i="1"/>
  <c r="K25" i="1"/>
  <c r="M25" i="1"/>
  <c r="K26" i="1"/>
  <c r="M26" i="1"/>
  <c r="K27" i="1"/>
  <c r="M27" i="1"/>
  <c r="K28" i="1"/>
  <c r="M28" i="1"/>
  <c r="K29" i="1"/>
  <c r="M29" i="1"/>
  <c r="K30" i="1"/>
  <c r="M30" i="1"/>
  <c r="K31" i="1"/>
  <c r="M31" i="1"/>
  <c r="K32" i="1"/>
  <c r="M32" i="1"/>
  <c r="K33" i="1"/>
  <c r="M33" i="1"/>
  <c r="K34" i="1"/>
  <c r="M34" i="1"/>
  <c r="K35" i="1"/>
  <c r="M35" i="1"/>
  <c r="K36" i="1"/>
  <c r="M36" i="1"/>
  <c r="K37" i="1"/>
  <c r="M37" i="1"/>
  <c r="K3" i="1"/>
  <c r="M3" i="1"/>
  <c r="D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" i="1"/>
  <c r="L3" i="1"/>
</calcChain>
</file>

<file path=xl/sharedStrings.xml><?xml version="1.0" encoding="utf-8"?>
<sst xmlns="http://schemas.openxmlformats.org/spreadsheetml/2006/main" count="200" uniqueCount="148">
  <si>
    <t>P0 (mb)</t>
  </si>
  <si>
    <t>epsilon</t>
  </si>
  <si>
    <t>Cp (J / kg K)</t>
  </si>
  <si>
    <t>Lv (J / kg)</t>
  </si>
  <si>
    <t>Pressure (mb)</t>
  </si>
  <si>
    <t>Calculated ThetaE (K)</t>
  </si>
  <si>
    <t>Theta (K)</t>
  </si>
  <si>
    <t>Ws (kg/kg)</t>
  </si>
  <si>
    <t>es (mb)</t>
  </si>
  <si>
    <t>ThetaE Error (K)</t>
  </si>
  <si>
    <t>NOTE:</t>
  </si>
  <si>
    <t>Use solver to</t>
  </si>
  <si>
    <t>minimize error</t>
  </si>
  <si>
    <t>This yields T values.</t>
  </si>
  <si>
    <t>Calculated Temperature Along Moist Adiabat (K)</t>
  </si>
  <si>
    <t>Temperature Along Dry Adiabat (C)</t>
  </si>
  <si>
    <t>lnPressure</t>
  </si>
  <si>
    <t>-----------------------------------------------------------------------------</t>
  </si>
  <si>
    <t>Observations</t>
  </si>
  <si>
    <t>at</t>
  </si>
  <si>
    <t>00Z</t>
  </si>
  <si>
    <t>PRES</t>
  </si>
  <si>
    <t>HGHT</t>
  </si>
  <si>
    <t>TEMP</t>
  </si>
  <si>
    <t>DWPT</t>
  </si>
  <si>
    <t>RELH</t>
  </si>
  <si>
    <t>MIXR</t>
  </si>
  <si>
    <t>DRCT</t>
  </si>
  <si>
    <t>SKNT</t>
  </si>
  <si>
    <t>THTA</t>
  </si>
  <si>
    <t>THTE</t>
  </si>
  <si>
    <t>THTV</t>
  </si>
  <si>
    <t>hPa</t>
  </si>
  <si>
    <t>m</t>
  </si>
  <si>
    <t>C</t>
  </si>
  <si>
    <t>%</t>
  </si>
  <si>
    <t>g/kg</t>
  </si>
  <si>
    <t>deg</t>
  </si>
  <si>
    <t>knot</t>
  </si>
  <si>
    <t>K</t>
  </si>
  <si>
    <t>Calculated Temperature Along Moist Adiabat (C)</t>
  </si>
  <si>
    <t>Pressure range goes from the LFC to the EL</t>
  </si>
  <si>
    <t>Pressure at Level of Free Convection --&gt;</t>
  </si>
  <si>
    <t>Pressure at Equilibrium Level --&gt;</t>
  </si>
  <si>
    <t>THEORY</t>
  </si>
  <si>
    <t>Calculated Virtual Temperature Along Moist Adiabat (K)</t>
  </si>
  <si>
    <t>Calculated Virtual Temperature Along Moist Adiabat (C)</t>
  </si>
  <si>
    <t>INPUTS ARE IN RED. OUTPUTS ARE IN PURPLE</t>
  </si>
  <si>
    <t>Then run the solver to minimize the error in ThetaE.</t>
  </si>
  <si>
    <t>LMN</t>
  </si>
  <si>
    <t>Lamont</t>
  </si>
  <si>
    <t>Oklahoma</t>
  </si>
  <si>
    <t>Jul</t>
  </si>
  <si>
    <t>Station</t>
  </si>
  <si>
    <t>information</t>
  </si>
  <si>
    <t>and</t>
  </si>
  <si>
    <t>sounding</t>
  </si>
  <si>
    <t>indices</t>
  </si>
  <si>
    <t>identifier:</t>
  </si>
  <si>
    <t>number:</t>
  </si>
  <si>
    <t>Observation</t>
  </si>
  <si>
    <t>time:</t>
  </si>
  <si>
    <t>050704/0000</t>
  </si>
  <si>
    <t>latitude:</t>
  </si>
  <si>
    <t>longitude:</t>
  </si>
  <si>
    <t>elevation:</t>
  </si>
  <si>
    <t>Showalter</t>
  </si>
  <si>
    <t>index:</t>
  </si>
  <si>
    <t>Lifted</t>
  </si>
  <si>
    <t>LIFT</t>
  </si>
  <si>
    <t>computed</t>
  </si>
  <si>
    <t>using</t>
  </si>
  <si>
    <t>virtual</t>
  </si>
  <si>
    <t>temperature:</t>
  </si>
  <si>
    <t>SWEAT</t>
  </si>
  <si>
    <t>Cross</t>
  </si>
  <si>
    <t>totals</t>
  </si>
  <si>
    <t>Vertical</t>
  </si>
  <si>
    <t>Totals</t>
  </si>
  <si>
    <t>Convective</t>
  </si>
  <si>
    <t>Available</t>
  </si>
  <si>
    <t>Potential</t>
  </si>
  <si>
    <t>Energy:</t>
  </si>
  <si>
    <t>CAPE</t>
  </si>
  <si>
    <t>Inhibition:</t>
  </si>
  <si>
    <t>CINS</t>
  </si>
  <si>
    <t>Equilibrum</t>
  </si>
  <si>
    <t>Level:</t>
  </si>
  <si>
    <t>Level</t>
  </si>
  <si>
    <t>of</t>
  </si>
  <si>
    <t>Free</t>
  </si>
  <si>
    <t>Convection:</t>
  </si>
  <si>
    <t>LFCT</t>
  </si>
  <si>
    <t>Bulk</t>
  </si>
  <si>
    <t>Richardson</t>
  </si>
  <si>
    <t>Number:</t>
  </si>
  <si>
    <t>Number</t>
  </si>
  <si>
    <t>CAPV:</t>
  </si>
  <si>
    <t>Temp</t>
  </si>
  <si>
    <t>[K]</t>
  </si>
  <si>
    <t>the</t>
  </si>
  <si>
    <t>Condensation</t>
  </si>
  <si>
    <t>Pres</t>
  </si>
  <si>
    <t>[hPa]</t>
  </si>
  <si>
    <t>Mean</t>
  </si>
  <si>
    <t>mixed</t>
  </si>
  <si>
    <t>layer</t>
  </si>
  <si>
    <t>potential</t>
  </si>
  <si>
    <t>mixing</t>
  </si>
  <si>
    <t>ratio:</t>
  </si>
  <si>
    <t>to</t>
  </si>
  <si>
    <t>thickness:</t>
  </si>
  <si>
    <t>Precipitable</t>
  </si>
  <si>
    <t>water</t>
  </si>
  <si>
    <t>[mm]</t>
  </si>
  <si>
    <t>for</t>
  </si>
  <si>
    <t>entire</t>
  </si>
  <si>
    <t>sounding:</t>
  </si>
  <si>
    <t>LFC</t>
  </si>
  <si>
    <t>EL</t>
  </si>
  <si>
    <t xml:space="preserve">Tparcel </t>
  </si>
  <si>
    <t>ThetaE at LFC (K)</t>
  </si>
  <si>
    <t>Theta at LFC (K)</t>
  </si>
  <si>
    <t>ws at LFC (kg/kg)</t>
  </si>
  <si>
    <t>esat at LFC (mb)</t>
  </si>
  <si>
    <t>Temperature at the LFC Celsius (C)</t>
  </si>
  <si>
    <t>in cell i39 adjusting</t>
  </si>
  <si>
    <t>T values in j2:j36.</t>
  </si>
  <si>
    <t>dZ</t>
  </si>
  <si>
    <t>(m)</t>
  </si>
  <si>
    <t>Cape Terms</t>
  </si>
  <si>
    <t>(Joules / kg)</t>
  </si>
  <si>
    <t>COPIED FROM Calculate Sheet</t>
  </si>
  <si>
    <t>values in column C.</t>
  </si>
  <si>
    <t>Put in your Temperature at LFC</t>
  </si>
  <si>
    <t>in cell B4.</t>
  </si>
  <si>
    <t>(Tap-Te)/Te</t>
  </si>
  <si>
    <t>esat(Tdew)</t>
  </si>
  <si>
    <t>Pascal</t>
  </si>
  <si>
    <t>kg/m3</t>
  </si>
  <si>
    <t>density H20 Vapor</t>
  </si>
  <si>
    <t>Precip Water Terms</t>
  </si>
  <si>
    <t>mm</t>
  </si>
  <si>
    <t>Put in your pressure values</t>
  </si>
  <si>
    <t>CAPE TOTAL (J/kg)</t>
  </si>
  <si>
    <t>Precip Water (mm)</t>
  </si>
  <si>
    <t>Total ThetaE Error (K) --&gt;</t>
  </si>
  <si>
    <r>
      <rPr>
        <b/>
        <sz val="18"/>
        <color rgb="FF7030A0"/>
        <rFont val="Symbol"/>
        <charset val="2"/>
      </rPr>
      <t>qE</t>
    </r>
    <r>
      <rPr>
        <b/>
        <sz val="18"/>
        <color rgb="FF7030A0"/>
        <rFont val="Calibri"/>
        <family val="2"/>
        <scheme val="minor"/>
      </rPr>
      <t xml:space="preserve"> (K) for the lifted surface air parcel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</si>
</sst>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2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8"/>
      <color rgb="FF000000"/>
      <name val="Times"/>
    </font>
    <font>
      <sz val="10"/>
      <color rgb="FF000000"/>
      <name val="Arial Unicode MS"/>
    </font>
    <font>
      <b/>
      <sz val="18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6"/>
      <color rgb="FF7030A0"/>
      <name val="Calibri"/>
      <family val="2"/>
      <scheme val="minor"/>
    </font>
    <font>
      <sz val="12"/>
      <color rgb="FF7030A0"/>
      <name val="Calibri"/>
      <family val="2"/>
      <scheme val="minor"/>
    </font>
    <font>
      <b/>
      <sz val="13.5"/>
      <color rgb="FF000000"/>
      <name val="Times"/>
    </font>
    <font>
      <b/>
      <sz val="16"/>
      <color rgb="FFFF0000"/>
      <name val="Arial Unicode MS"/>
    </font>
    <font>
      <b/>
      <sz val="16"/>
      <color rgb="FFFF0000"/>
      <name val="Calibri"/>
      <family val="2"/>
      <scheme val="minor"/>
    </font>
    <font>
      <b/>
      <sz val="14"/>
      <color rgb="FFFF0000"/>
      <name val="Arial Unicode MS"/>
    </font>
    <font>
      <b/>
      <sz val="14"/>
      <color rgb="FFFF0000"/>
      <name val="Calibri"/>
      <family val="2"/>
      <scheme val="minor"/>
    </font>
    <font>
      <b/>
      <sz val="18"/>
      <color rgb="FF7030A0"/>
      <name val="Calibri"/>
      <family val="2"/>
      <scheme val="minor"/>
    </font>
    <font>
      <b/>
      <sz val="18"/>
      <color rgb="FF7030A0"/>
      <name val="Symbol"/>
      <charset val="2"/>
    </font>
    <font>
      <b/>
      <sz val="12"/>
      <color rgb="FF7030A0"/>
      <name val="Calibri"/>
      <scheme val="minor"/>
    </font>
    <font>
      <b/>
      <sz val="16"/>
      <color theme="1"/>
      <name val="Calibri"/>
      <family val="2"/>
      <scheme val="minor"/>
    </font>
    <font>
      <sz val="16"/>
      <color rgb="FF7030A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0">
    <xf numFmtId="0" fontId="0" fillId="0" borderId="0" xfId="0"/>
    <xf numFmtId="11" fontId="0" fillId="0" borderId="0" xfId="0" applyNumberFormat="1"/>
    <xf numFmtId="0" fontId="1" fillId="0" borderId="0" xfId="0" applyFont="1"/>
    <xf numFmtId="0" fontId="0" fillId="0" borderId="0" xfId="0" applyNumberFormat="1"/>
    <xf numFmtId="0" fontId="0" fillId="0" borderId="0" xfId="0" applyAlignment="1">
      <alignment wrapText="1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7" fillId="0" borderId="0" xfId="0" applyFont="1"/>
    <xf numFmtId="0" fontId="9" fillId="0" borderId="0" xfId="0" applyFont="1"/>
    <xf numFmtId="0" fontId="8" fillId="0" borderId="0" xfId="0" applyFont="1"/>
    <xf numFmtId="49" fontId="10" fillId="0" borderId="0" xfId="0" applyNumberFormat="1" applyFont="1" applyAlignment="1">
      <alignment wrapText="1"/>
    </xf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" fillId="0" borderId="0" xfId="0" applyNumberFormat="1" applyFont="1"/>
    <xf numFmtId="0" fontId="0" fillId="0" borderId="0" xfId="0" applyFont="1"/>
    <xf numFmtId="11" fontId="0" fillId="0" borderId="0" xfId="0" applyNumberFormat="1" applyFont="1"/>
    <xf numFmtId="0" fontId="17" fillId="0" borderId="0" xfId="0" applyFont="1"/>
    <xf numFmtId="0" fontId="10" fillId="0" borderId="0" xfId="0" applyFont="1"/>
    <xf numFmtId="0" fontId="20" fillId="0" borderId="0" xfId="0" applyFont="1"/>
    <xf numFmtId="0" fontId="19" fillId="0" borderId="0" xfId="0" applyFont="1" applyAlignment="1">
      <alignment wrapText="1"/>
    </xf>
    <xf numFmtId="0" fontId="20" fillId="0" borderId="1" xfId="0" applyFont="1" applyBorder="1"/>
    <xf numFmtId="0" fontId="20" fillId="0" borderId="2" xfId="0" applyFont="1" applyBorder="1"/>
    <xf numFmtId="0" fontId="20" fillId="0" borderId="3" xfId="0" applyFont="1" applyBorder="1"/>
    <xf numFmtId="0" fontId="20" fillId="0" borderId="4" xfId="0" applyFont="1" applyBorder="1"/>
    <xf numFmtId="0" fontId="0" fillId="0" borderId="3" xfId="0" applyBorder="1"/>
    <xf numFmtId="0" fontId="0" fillId="0" borderId="4" xfId="0" applyBorder="1"/>
    <xf numFmtId="0" fontId="0" fillId="0" borderId="3" xfId="0" applyFont="1" applyBorder="1"/>
    <xf numFmtId="0" fontId="6" fillId="0" borderId="4" xfId="0" applyFont="1" applyBorder="1"/>
    <xf numFmtId="0" fontId="0" fillId="0" borderId="5" xfId="0" applyFont="1" applyBorder="1"/>
    <xf numFmtId="0" fontId="20" fillId="0" borderId="6" xfId="0" applyFont="1" applyBorder="1"/>
    <xf numFmtId="0" fontId="20" fillId="0" borderId="0" xfId="0" applyFont="1" applyBorder="1"/>
    <xf numFmtId="0" fontId="0" fillId="0" borderId="0" xfId="0" applyBorder="1"/>
    <xf numFmtId="0" fontId="6" fillId="0" borderId="0" xfId="0" applyFont="1" applyBorder="1"/>
    <xf numFmtId="0" fontId="20" fillId="0" borderId="0" xfId="0" applyFont="1" applyAlignment="1">
      <alignment wrapText="1"/>
    </xf>
    <xf numFmtId="164" fontId="17" fillId="0" borderId="0" xfId="0" applyNumberFormat="1" applyFont="1"/>
    <xf numFmtId="0" fontId="20" fillId="2" borderId="7" xfId="0" applyFont="1" applyFill="1" applyBorder="1" applyAlignment="1">
      <alignment horizontal="center" vertical="center" wrapText="1"/>
    </xf>
    <xf numFmtId="1" fontId="20" fillId="2" borderId="7" xfId="0" applyNumberFormat="1" applyFont="1" applyFill="1" applyBorder="1"/>
    <xf numFmtId="1" fontId="20" fillId="2" borderId="7" xfId="0" applyNumberFormat="1" applyFont="1" applyFill="1" applyBorder="1" applyAlignment="1">
      <alignment horizontal="center" vertical="center"/>
    </xf>
    <xf numFmtId="0" fontId="20" fillId="0" borderId="0" xfId="0" applyNumberFormat="1" applyFont="1" applyAlignment="1">
      <alignment horizontal="right" vertical="center" wrapText="1"/>
    </xf>
    <xf numFmtId="0" fontId="17" fillId="0" borderId="7" xfId="0" applyFont="1" applyBorder="1" applyAlignment="1">
      <alignment horizontal="center" vertical="center" wrapText="1"/>
    </xf>
    <xf numFmtId="164" fontId="17" fillId="0" borderId="7" xfId="0" applyNumberFormat="1" applyFont="1" applyBorder="1"/>
    <xf numFmtId="49" fontId="17" fillId="0" borderId="0" xfId="0" applyNumberFormat="1" applyFont="1" applyAlignment="1">
      <alignment wrapText="1"/>
    </xf>
    <xf numFmtId="0" fontId="21" fillId="0" borderId="0" xfId="0" applyFont="1"/>
  </cellXfs>
  <cellStyles count="1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Hyperlink" xfId="1" builtinId="8" hidden="1"/>
    <cellStyle name="Hyperlink" xfId="3" builtinId="8" hidden="1"/>
    <cellStyle name="Hyperlink" xfId="5" builtinId="8" hidden="1"/>
    <cellStyle name="Hyperlink" xfId="9" builtinId="8" hidden="1"/>
    <cellStyle name="Hyperlink" xfId="11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0</xdr:row>
      <xdr:rowOff>88900</xdr:rowOff>
    </xdr:from>
    <xdr:to>
      <xdr:col>10</xdr:col>
      <xdr:colOff>21756</xdr:colOff>
      <xdr:row>49</xdr:row>
      <xdr:rowOff>190500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88900"/>
          <a:ext cx="7387756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558800</xdr:colOff>
      <xdr:row>57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417800" cy="11696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2</xdr:row>
      <xdr:rowOff>0</xdr:rowOff>
    </xdr:from>
    <xdr:to>
      <xdr:col>33</xdr:col>
      <xdr:colOff>254000</xdr:colOff>
      <xdr:row>31</xdr:row>
      <xdr:rowOff>190500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0" y="508000"/>
          <a:ext cx="10160000" cy="812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3" sqref="O33"/>
    </sheetView>
  </sheetViews>
  <sheetFormatPr baseColWidth="10" defaultRowHeight="16" x14ac:dyDescent="0.2"/>
  <sheetData>
    <row r="1" spans="1:1" x14ac:dyDescent="0.2">
      <c r="A1" s="2" t="s">
        <v>44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8" workbookViewId="0">
      <selection activeCell="U22" sqref="U22"/>
    </sheetView>
  </sheetViews>
  <sheetFormatPr baseColWidth="10" defaultRowHeight="16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1"/>
  <sheetViews>
    <sheetView workbookViewId="0">
      <pane ySplit="14760" topLeftCell="A87"/>
      <selection activeCell="P2" sqref="P2"/>
      <selection pane="bottomLeft" activeCell="N90" sqref="N90:N98"/>
    </sheetView>
  </sheetViews>
  <sheetFormatPr baseColWidth="10" defaultRowHeight="16" x14ac:dyDescent="0.2"/>
  <cols>
    <col min="13" max="13" width="14.5" customWidth="1"/>
    <col min="15" max="15" width="19.33203125" customWidth="1"/>
    <col min="16" max="16" width="15.5" customWidth="1"/>
    <col min="17" max="17" width="4.5" customWidth="1"/>
    <col min="18" max="18" width="16.5" customWidth="1"/>
    <col min="19" max="19" width="13.5" customWidth="1"/>
    <col min="20" max="20" width="16.6640625" customWidth="1"/>
  </cols>
  <sheetData>
    <row r="1" spans="1:20" ht="42" x14ac:dyDescent="0.3">
      <c r="A1" s="5">
        <v>74646</v>
      </c>
      <c r="B1" t="s">
        <v>49</v>
      </c>
      <c r="C1" t="s">
        <v>50</v>
      </c>
      <c r="D1" t="s">
        <v>51</v>
      </c>
      <c r="E1" t="s">
        <v>18</v>
      </c>
      <c r="F1" t="s">
        <v>19</v>
      </c>
      <c r="G1" t="s">
        <v>20</v>
      </c>
      <c r="H1">
        <v>4</v>
      </c>
      <c r="I1" t="s">
        <v>52</v>
      </c>
      <c r="J1">
        <v>2005</v>
      </c>
      <c r="M1" s="26" t="s">
        <v>132</v>
      </c>
      <c r="P1" s="42" t="s">
        <v>144</v>
      </c>
      <c r="T1" s="42" t="s">
        <v>145</v>
      </c>
    </row>
    <row r="2" spans="1:20" ht="21" x14ac:dyDescent="0.25">
      <c r="M2" s="14"/>
      <c r="P2" s="44">
        <f>SUM(P19:P53)</f>
        <v>5036.0417198077894</v>
      </c>
      <c r="T2" s="43">
        <f>SUM(T8:T45)</f>
        <v>45.433614516376267</v>
      </c>
    </row>
    <row r="3" spans="1:20" ht="18" thickBot="1" x14ac:dyDescent="0.3">
      <c r="A3" s="6" t="s">
        <v>17</v>
      </c>
      <c r="M3" s="14"/>
    </row>
    <row r="4" spans="1:20" ht="42" x14ac:dyDescent="0.25">
      <c r="A4" s="6"/>
      <c r="B4" t="s">
        <v>21</v>
      </c>
      <c r="C4" t="s">
        <v>22</v>
      </c>
      <c r="D4" t="s">
        <v>23</v>
      </c>
      <c r="E4" t="s">
        <v>24</v>
      </c>
      <c r="F4" t="s">
        <v>25</v>
      </c>
      <c r="G4" t="s">
        <v>26</v>
      </c>
      <c r="H4" t="s">
        <v>27</v>
      </c>
      <c r="I4" t="s">
        <v>28</v>
      </c>
      <c r="J4" t="s">
        <v>29</v>
      </c>
      <c r="K4" t="s">
        <v>30</v>
      </c>
      <c r="L4" t="s">
        <v>31</v>
      </c>
      <c r="M4" s="24" t="s">
        <v>120</v>
      </c>
      <c r="N4" s="25" t="s">
        <v>128</v>
      </c>
      <c r="O4" s="27" t="s">
        <v>136</v>
      </c>
      <c r="P4" s="28" t="s">
        <v>130</v>
      </c>
      <c r="Q4" s="37"/>
      <c r="R4" s="25" t="s">
        <v>137</v>
      </c>
      <c r="S4" s="40" t="s">
        <v>140</v>
      </c>
      <c r="T4" s="40" t="s">
        <v>141</v>
      </c>
    </row>
    <row r="5" spans="1:20" ht="21" x14ac:dyDescent="0.25">
      <c r="A5" s="6"/>
      <c r="B5" t="s">
        <v>32</v>
      </c>
      <c r="C5" t="s">
        <v>33</v>
      </c>
      <c r="D5" t="s">
        <v>34</v>
      </c>
      <c r="E5" t="s">
        <v>34</v>
      </c>
      <c r="F5" t="s">
        <v>35</v>
      </c>
      <c r="G5" t="s">
        <v>36</v>
      </c>
      <c r="H5" t="s">
        <v>37</v>
      </c>
      <c r="I5" t="s">
        <v>38</v>
      </c>
      <c r="J5" t="s">
        <v>39</v>
      </c>
      <c r="K5" t="s">
        <v>39</v>
      </c>
      <c r="L5" t="s">
        <v>39</v>
      </c>
      <c r="M5" s="24" t="s">
        <v>34</v>
      </c>
      <c r="N5" s="25" t="s">
        <v>129</v>
      </c>
      <c r="O5" s="29"/>
      <c r="P5" s="30" t="s">
        <v>131</v>
      </c>
      <c r="Q5" s="37"/>
      <c r="R5" s="25" t="s">
        <v>138</v>
      </c>
      <c r="S5" s="25" t="s">
        <v>139</v>
      </c>
      <c r="T5" s="25" t="s">
        <v>142</v>
      </c>
    </row>
    <row r="6" spans="1:20" ht="17" x14ac:dyDescent="0.25">
      <c r="A6" s="6" t="s">
        <v>17</v>
      </c>
      <c r="M6" s="14"/>
      <c r="O6" s="31"/>
      <c r="P6" s="32"/>
      <c r="Q6" s="38"/>
    </row>
    <row r="7" spans="1:20" ht="21" x14ac:dyDescent="0.25">
      <c r="A7" s="6"/>
      <c r="B7">
        <v>1000</v>
      </c>
      <c r="C7">
        <v>20</v>
      </c>
      <c r="M7" s="14"/>
      <c r="N7" s="25">
        <f t="shared" ref="N7:N18" si="0">C8-C7</f>
        <v>297</v>
      </c>
      <c r="O7" s="31"/>
      <c r="P7" s="32"/>
      <c r="Q7" s="38"/>
    </row>
    <row r="8" spans="1:20" ht="21" x14ac:dyDescent="0.25">
      <c r="A8" s="6"/>
      <c r="B8">
        <v>968</v>
      </c>
      <c r="C8">
        <v>317</v>
      </c>
      <c r="D8">
        <v>33</v>
      </c>
      <c r="E8">
        <v>24</v>
      </c>
      <c r="F8">
        <v>59</v>
      </c>
      <c r="G8">
        <v>19.87</v>
      </c>
      <c r="H8">
        <v>150</v>
      </c>
      <c r="I8">
        <v>17</v>
      </c>
      <c r="J8">
        <v>309</v>
      </c>
      <c r="K8">
        <v>369.8</v>
      </c>
      <c r="L8">
        <v>312.7</v>
      </c>
      <c r="M8" s="14"/>
      <c r="N8" s="25">
        <f t="shared" si="0"/>
        <v>293</v>
      </c>
      <c r="O8" s="31"/>
      <c r="P8" s="32"/>
      <c r="Q8" s="38"/>
      <c r="R8">
        <f>611*EXP(5420*(1/273-1/(273.15+E8)))</f>
        <v>3067.5382854790541</v>
      </c>
      <c r="S8">
        <f t="shared" ref="S8:S45" si="1">R8/(461.91*(D8+273.15))</f>
        <v>2.1691938452949863E-2</v>
      </c>
      <c r="T8">
        <f t="shared" ref="T8:T45" si="2">S8*N8</f>
        <v>6.3557379667143099</v>
      </c>
    </row>
    <row r="9" spans="1:20" ht="21" x14ac:dyDescent="0.25">
      <c r="A9" s="6"/>
      <c r="B9">
        <v>936.8</v>
      </c>
      <c r="C9">
        <v>610</v>
      </c>
      <c r="D9">
        <v>30.7</v>
      </c>
      <c r="E9">
        <v>23.1</v>
      </c>
      <c r="F9">
        <v>64</v>
      </c>
      <c r="G9">
        <v>19.47</v>
      </c>
      <c r="H9">
        <v>160</v>
      </c>
      <c r="I9">
        <v>26</v>
      </c>
      <c r="J9">
        <v>309.60000000000002</v>
      </c>
      <c r="K9">
        <v>369.3</v>
      </c>
      <c r="L9">
        <v>313.2</v>
      </c>
      <c r="M9" s="14"/>
      <c r="N9" s="25">
        <f t="shared" si="0"/>
        <v>113</v>
      </c>
      <c r="O9" s="31"/>
      <c r="P9" s="32"/>
      <c r="Q9" s="38"/>
      <c r="R9">
        <f t="shared" ref="R9:R45" si="3">611*EXP(5420*(1/273-1/(273.15+E9)))</f>
        <v>2902.1820464816406</v>
      </c>
      <c r="S9">
        <f t="shared" si="1"/>
        <v>2.0677976906589936E-2</v>
      </c>
      <c r="T9">
        <f t="shared" si="2"/>
        <v>2.3366113904446628</v>
      </c>
    </row>
    <row r="10" spans="1:20" ht="21" x14ac:dyDescent="0.25">
      <c r="A10" s="6"/>
      <c r="B10">
        <v>925</v>
      </c>
      <c r="C10">
        <v>723</v>
      </c>
      <c r="D10">
        <v>29.8</v>
      </c>
      <c r="E10">
        <v>22.8</v>
      </c>
      <c r="F10">
        <v>66</v>
      </c>
      <c r="G10">
        <v>19.32</v>
      </c>
      <c r="H10">
        <v>165</v>
      </c>
      <c r="I10">
        <v>28</v>
      </c>
      <c r="J10">
        <v>309.8</v>
      </c>
      <c r="K10">
        <v>369.1</v>
      </c>
      <c r="L10">
        <v>313.3</v>
      </c>
      <c r="M10" s="14"/>
      <c r="N10" s="25">
        <f t="shared" si="0"/>
        <v>146</v>
      </c>
      <c r="O10" s="31"/>
      <c r="P10" s="32"/>
      <c r="Q10" s="38"/>
      <c r="R10">
        <f t="shared" si="3"/>
        <v>2848.8549964688036</v>
      </c>
      <c r="S10">
        <f t="shared" si="1"/>
        <v>2.0358324072692172E-2</v>
      </c>
      <c r="T10">
        <f t="shared" si="2"/>
        <v>2.972315314613057</v>
      </c>
    </row>
    <row r="11" spans="1:20" ht="21" x14ac:dyDescent="0.25">
      <c r="A11" s="6"/>
      <c r="B11">
        <v>910</v>
      </c>
      <c r="C11">
        <v>869</v>
      </c>
      <c r="D11">
        <v>28.4</v>
      </c>
      <c r="E11">
        <v>21.4</v>
      </c>
      <c r="F11">
        <v>66</v>
      </c>
      <c r="G11">
        <v>17.989999999999998</v>
      </c>
      <c r="H11">
        <v>169</v>
      </c>
      <c r="I11">
        <v>30</v>
      </c>
      <c r="J11">
        <v>309.8</v>
      </c>
      <c r="K11">
        <v>364.9</v>
      </c>
      <c r="L11">
        <v>313.10000000000002</v>
      </c>
      <c r="M11" s="14"/>
      <c r="N11" s="25">
        <f t="shared" si="0"/>
        <v>45</v>
      </c>
      <c r="O11" s="31"/>
      <c r="P11" s="32"/>
      <c r="Q11" s="38"/>
      <c r="R11">
        <f t="shared" si="3"/>
        <v>2611.3594062679476</v>
      </c>
      <c r="S11">
        <f t="shared" si="1"/>
        <v>1.8747784439585562E-2</v>
      </c>
      <c r="T11">
        <f t="shared" si="2"/>
        <v>0.84365029978135031</v>
      </c>
    </row>
    <row r="12" spans="1:20" ht="21" x14ac:dyDescent="0.25">
      <c r="A12" s="6"/>
      <c r="B12">
        <v>905.4</v>
      </c>
      <c r="C12">
        <v>914</v>
      </c>
      <c r="D12">
        <v>28.2</v>
      </c>
      <c r="E12">
        <v>20.9</v>
      </c>
      <c r="F12">
        <v>65</v>
      </c>
      <c r="G12">
        <v>17.559999999999999</v>
      </c>
      <c r="H12">
        <v>170</v>
      </c>
      <c r="I12">
        <v>30</v>
      </c>
      <c r="J12">
        <v>310</v>
      </c>
      <c r="K12">
        <v>363.9</v>
      </c>
      <c r="L12">
        <v>313.2</v>
      </c>
      <c r="M12" s="14"/>
      <c r="N12" s="25">
        <f t="shared" si="0"/>
        <v>305</v>
      </c>
      <c r="O12" s="31"/>
      <c r="P12" s="32"/>
      <c r="Q12" s="38"/>
      <c r="R12">
        <f t="shared" si="3"/>
        <v>2530.9180906758297</v>
      </c>
      <c r="S12">
        <f t="shared" si="1"/>
        <v>1.8182329752277852E-2</v>
      </c>
      <c r="T12">
        <f t="shared" si="2"/>
        <v>5.545610574444745</v>
      </c>
    </row>
    <row r="13" spans="1:20" ht="21" x14ac:dyDescent="0.25">
      <c r="A13" s="6"/>
      <c r="B13">
        <v>874.7</v>
      </c>
      <c r="C13">
        <v>1219</v>
      </c>
      <c r="D13">
        <v>26.6</v>
      </c>
      <c r="E13">
        <v>17.8</v>
      </c>
      <c r="F13">
        <v>59</v>
      </c>
      <c r="G13">
        <v>14.89</v>
      </c>
      <c r="H13">
        <v>190</v>
      </c>
      <c r="I13">
        <v>34</v>
      </c>
      <c r="J13">
        <v>311.39999999999998</v>
      </c>
      <c r="K13">
        <v>357.3</v>
      </c>
      <c r="L13">
        <v>314.10000000000002</v>
      </c>
      <c r="M13" s="14"/>
      <c r="N13" s="25">
        <f t="shared" si="0"/>
        <v>254</v>
      </c>
      <c r="O13" s="31"/>
      <c r="P13" s="32"/>
      <c r="Q13" s="38"/>
      <c r="R13">
        <f t="shared" si="3"/>
        <v>2079.6324779588626</v>
      </c>
      <c r="S13">
        <f t="shared" si="1"/>
        <v>1.5020003539055542E-2</v>
      </c>
      <c r="T13">
        <f t="shared" si="2"/>
        <v>3.8150808989201077</v>
      </c>
    </row>
    <row r="14" spans="1:20" ht="21" x14ac:dyDescent="0.25">
      <c r="A14" s="6"/>
      <c r="B14">
        <v>850</v>
      </c>
      <c r="C14">
        <v>1473</v>
      </c>
      <c r="D14">
        <v>25.2</v>
      </c>
      <c r="E14">
        <v>15.2</v>
      </c>
      <c r="F14">
        <v>54</v>
      </c>
      <c r="G14">
        <v>12.94</v>
      </c>
      <c r="H14">
        <v>195</v>
      </c>
      <c r="I14">
        <v>34</v>
      </c>
      <c r="J14">
        <v>312.5</v>
      </c>
      <c r="K14">
        <v>352.7</v>
      </c>
      <c r="L14">
        <v>315</v>
      </c>
      <c r="M14" s="14"/>
      <c r="N14" s="25">
        <f t="shared" si="0"/>
        <v>51</v>
      </c>
      <c r="O14" s="31"/>
      <c r="P14" s="32"/>
      <c r="Q14" s="38"/>
      <c r="R14">
        <f t="shared" si="3"/>
        <v>1758.0762670052168</v>
      </c>
      <c r="S14">
        <f t="shared" si="1"/>
        <v>1.2757168874155919E-2</v>
      </c>
      <c r="T14">
        <f t="shared" si="2"/>
        <v>0.65061561258195189</v>
      </c>
    </row>
    <row r="15" spans="1:20" ht="21" x14ac:dyDescent="0.25">
      <c r="A15" s="6"/>
      <c r="B15">
        <v>845.1</v>
      </c>
      <c r="C15">
        <v>1524</v>
      </c>
      <c r="D15">
        <v>24.9</v>
      </c>
      <c r="E15">
        <v>14.7</v>
      </c>
      <c r="F15">
        <v>53</v>
      </c>
      <c r="G15">
        <v>12.61</v>
      </c>
      <c r="H15">
        <v>200</v>
      </c>
      <c r="I15">
        <v>32</v>
      </c>
      <c r="J15">
        <v>312.8</v>
      </c>
      <c r="K15">
        <v>352</v>
      </c>
      <c r="L15">
        <v>315.10000000000002</v>
      </c>
      <c r="M15" s="14"/>
      <c r="N15" s="25">
        <f t="shared" si="0"/>
        <v>305</v>
      </c>
      <c r="O15" s="31"/>
      <c r="P15" s="32"/>
      <c r="Q15" s="38"/>
      <c r="R15">
        <f t="shared" si="3"/>
        <v>1701.6020463082411</v>
      </c>
      <c r="S15">
        <f t="shared" si="1"/>
        <v>1.2359801856461952E-2</v>
      </c>
      <c r="T15">
        <f t="shared" si="2"/>
        <v>3.7697395662208955</v>
      </c>
    </row>
    <row r="16" spans="1:20" ht="21" x14ac:dyDescent="0.25">
      <c r="A16" s="6"/>
      <c r="B16">
        <v>816.2</v>
      </c>
      <c r="C16">
        <v>1829</v>
      </c>
      <c r="D16">
        <v>23.2</v>
      </c>
      <c r="E16">
        <v>11.8</v>
      </c>
      <c r="F16">
        <v>49</v>
      </c>
      <c r="G16">
        <v>10.8</v>
      </c>
      <c r="H16">
        <v>200</v>
      </c>
      <c r="I16">
        <v>30</v>
      </c>
      <c r="J16">
        <v>314.10000000000002</v>
      </c>
      <c r="K16">
        <v>347.9</v>
      </c>
      <c r="L16">
        <v>316.10000000000002</v>
      </c>
      <c r="M16" s="14"/>
      <c r="N16" s="25">
        <f t="shared" si="0"/>
        <v>153</v>
      </c>
      <c r="O16" s="31"/>
      <c r="P16" s="32"/>
      <c r="Q16" s="38"/>
      <c r="R16">
        <f t="shared" si="3"/>
        <v>1404.8642478618583</v>
      </c>
      <c r="S16">
        <f t="shared" si="1"/>
        <v>1.0262946484091869E-2</v>
      </c>
      <c r="T16">
        <f t="shared" si="2"/>
        <v>1.570230812066056</v>
      </c>
    </row>
    <row r="17" spans="1:20" ht="21" x14ac:dyDescent="0.25">
      <c r="A17" s="6"/>
      <c r="B17">
        <v>802</v>
      </c>
      <c r="C17">
        <v>1982</v>
      </c>
      <c r="D17">
        <v>22.4</v>
      </c>
      <c r="E17">
        <v>10.4</v>
      </c>
      <c r="F17">
        <v>47</v>
      </c>
      <c r="G17">
        <v>9.9700000000000006</v>
      </c>
      <c r="H17">
        <v>198</v>
      </c>
      <c r="I17">
        <v>28</v>
      </c>
      <c r="J17">
        <v>314.8</v>
      </c>
      <c r="K17">
        <v>346.2</v>
      </c>
      <c r="L17">
        <v>316.7</v>
      </c>
      <c r="M17" s="14"/>
      <c r="N17" s="25">
        <f t="shared" si="0"/>
        <v>152</v>
      </c>
      <c r="O17" s="31"/>
      <c r="P17" s="32"/>
      <c r="Q17" s="38"/>
      <c r="R17">
        <f t="shared" si="3"/>
        <v>1278.9340592909541</v>
      </c>
      <c r="S17">
        <f t="shared" si="1"/>
        <v>9.3682791920948923E-3</v>
      </c>
      <c r="T17">
        <f t="shared" si="2"/>
        <v>1.4239784371984237</v>
      </c>
    </row>
    <row r="18" spans="1:20" ht="21" x14ac:dyDescent="0.25">
      <c r="A18" s="6"/>
      <c r="B18">
        <v>788</v>
      </c>
      <c r="C18">
        <v>2134</v>
      </c>
      <c r="D18">
        <v>21</v>
      </c>
      <c r="E18">
        <v>9.9</v>
      </c>
      <c r="F18">
        <v>49</v>
      </c>
      <c r="G18">
        <v>9.8000000000000007</v>
      </c>
      <c r="H18">
        <v>195</v>
      </c>
      <c r="I18">
        <v>26</v>
      </c>
      <c r="J18">
        <v>314.89999999999998</v>
      </c>
      <c r="K18">
        <v>345.8</v>
      </c>
      <c r="L18">
        <v>316.8</v>
      </c>
      <c r="M18" s="14"/>
      <c r="N18" s="25">
        <f t="shared" si="0"/>
        <v>304</v>
      </c>
      <c r="O18" s="31"/>
      <c r="P18" s="32"/>
      <c r="Q18" s="38"/>
      <c r="R18">
        <f t="shared" si="3"/>
        <v>1236.4708197592477</v>
      </c>
      <c r="S18">
        <f t="shared" si="1"/>
        <v>9.1003407546008247E-3</v>
      </c>
      <c r="T18">
        <f t="shared" si="2"/>
        <v>2.7665035893986509</v>
      </c>
    </row>
    <row r="19" spans="1:20" s="17" customFormat="1" ht="23" x14ac:dyDescent="0.3">
      <c r="A19" s="16" t="s">
        <v>118</v>
      </c>
      <c r="B19" s="17">
        <v>760.6</v>
      </c>
      <c r="C19" s="17">
        <v>2438</v>
      </c>
      <c r="D19" s="17">
        <v>18.2</v>
      </c>
      <c r="E19" s="17">
        <v>8.8000000000000007</v>
      </c>
      <c r="F19" s="17">
        <v>54</v>
      </c>
      <c r="G19" s="17">
        <v>9.4600000000000009</v>
      </c>
      <c r="H19" s="17">
        <v>195</v>
      </c>
      <c r="I19" s="17">
        <v>27</v>
      </c>
      <c r="J19" s="17">
        <v>315.10000000000002</v>
      </c>
      <c r="K19" s="17">
        <v>345</v>
      </c>
      <c r="L19" s="17">
        <v>316.89999999999998</v>
      </c>
      <c r="M19" s="24">
        <v>18.199795080745673</v>
      </c>
      <c r="N19" s="25">
        <f>C20-C19</f>
        <v>305</v>
      </c>
      <c r="O19" s="29">
        <f>(M19-D19)/(D19+273.15)</f>
        <v>-7.033439311003461E-7</v>
      </c>
      <c r="P19" s="30">
        <f>9.81*N19*O19</f>
        <v>-2.1044402090487908E-3</v>
      </c>
      <c r="Q19" s="37"/>
      <c r="R19">
        <f t="shared" si="3"/>
        <v>1147.4648114156016</v>
      </c>
      <c r="S19">
        <f t="shared" si="1"/>
        <v>8.5264252548438238E-3</v>
      </c>
      <c r="T19">
        <f t="shared" si="2"/>
        <v>2.6005597027273661</v>
      </c>
    </row>
    <row r="20" spans="1:20" ht="21" x14ac:dyDescent="0.25">
      <c r="A20" s="6"/>
      <c r="B20" s="10">
        <v>734.1</v>
      </c>
      <c r="C20">
        <v>2743</v>
      </c>
      <c r="D20">
        <v>15.5</v>
      </c>
      <c r="E20">
        <v>7.8</v>
      </c>
      <c r="F20">
        <v>60</v>
      </c>
      <c r="G20">
        <v>9.1300000000000008</v>
      </c>
      <c r="H20">
        <v>200</v>
      </c>
      <c r="I20">
        <v>28</v>
      </c>
      <c r="J20">
        <v>315.3</v>
      </c>
      <c r="K20">
        <v>344.1</v>
      </c>
      <c r="L20">
        <v>317</v>
      </c>
      <c r="M20" s="24">
        <v>17.052096554619993</v>
      </c>
      <c r="N20" s="25">
        <f t="shared" ref="N20:N83" si="4">C21-C20</f>
        <v>119</v>
      </c>
      <c r="O20" s="29">
        <f t="shared" ref="O20:O53" si="5">(M20-D20)/(D20+273.15)</f>
        <v>5.3770883582885615E-3</v>
      </c>
      <c r="P20" s="30">
        <f t="shared" ref="P20:P53" si="6">9.81*N20*O20</f>
        <v>6.2771591785824841</v>
      </c>
      <c r="Q20" s="37"/>
      <c r="R20">
        <f t="shared" si="3"/>
        <v>1071.5783135677293</v>
      </c>
      <c r="S20">
        <f t="shared" si="1"/>
        <v>8.0370188979686022E-3</v>
      </c>
      <c r="T20">
        <f t="shared" si="2"/>
        <v>0.95640524885826361</v>
      </c>
    </row>
    <row r="21" spans="1:20" ht="21" x14ac:dyDescent="0.25">
      <c r="A21" s="6"/>
      <c r="B21" s="10">
        <v>724</v>
      </c>
      <c r="C21">
        <v>2862</v>
      </c>
      <c r="D21">
        <v>14.4</v>
      </c>
      <c r="E21">
        <v>7.4</v>
      </c>
      <c r="F21">
        <v>63</v>
      </c>
      <c r="G21">
        <v>9</v>
      </c>
      <c r="H21">
        <v>203</v>
      </c>
      <c r="I21">
        <v>28</v>
      </c>
      <c r="J21">
        <v>315.39999999999998</v>
      </c>
      <c r="K21">
        <v>343.8</v>
      </c>
      <c r="L21">
        <v>317.10000000000002</v>
      </c>
      <c r="M21" s="24">
        <v>16.600216451033191</v>
      </c>
      <c r="N21" s="25">
        <f t="shared" si="4"/>
        <v>284</v>
      </c>
      <c r="O21" s="29">
        <f t="shared" si="5"/>
        <v>7.6515960738417349E-3</v>
      </c>
      <c r="P21" s="30">
        <f t="shared" si="6"/>
        <v>21.317652725566028</v>
      </c>
      <c r="Q21" s="37"/>
      <c r="R21">
        <f t="shared" si="3"/>
        <v>1042.5056498280439</v>
      </c>
      <c r="S21">
        <f t="shared" si="1"/>
        <v>7.8488798478417547E-3</v>
      </c>
      <c r="T21">
        <f t="shared" si="2"/>
        <v>2.2290818767870584</v>
      </c>
    </row>
    <row r="22" spans="1:20" ht="21" x14ac:dyDescent="0.25">
      <c r="A22" s="6"/>
      <c r="B22" s="10">
        <v>700</v>
      </c>
      <c r="C22">
        <v>3146</v>
      </c>
      <c r="D22">
        <v>12.6</v>
      </c>
      <c r="E22">
        <v>1.6</v>
      </c>
      <c r="F22">
        <v>47</v>
      </c>
      <c r="G22">
        <v>6.18</v>
      </c>
      <c r="H22">
        <v>210</v>
      </c>
      <c r="I22">
        <v>27</v>
      </c>
      <c r="J22">
        <v>316.39999999999998</v>
      </c>
      <c r="K22">
        <v>336.3</v>
      </c>
      <c r="L22">
        <v>317.60000000000002</v>
      </c>
      <c r="M22" s="24">
        <v>15.492910035547709</v>
      </c>
      <c r="N22" s="25">
        <f t="shared" si="4"/>
        <v>255</v>
      </c>
      <c r="O22" s="29">
        <f t="shared" si="5"/>
        <v>1.0123919634462675E-2</v>
      </c>
      <c r="P22" s="30">
        <f t="shared" si="6"/>
        <v>25.325491161590108</v>
      </c>
      <c r="Q22" s="37"/>
      <c r="R22">
        <f t="shared" si="3"/>
        <v>693.36201077219528</v>
      </c>
      <c r="S22">
        <f t="shared" si="1"/>
        <v>5.2531093280865672E-3</v>
      </c>
      <c r="T22">
        <f t="shared" si="2"/>
        <v>1.3395428786620747</v>
      </c>
    </row>
    <row r="23" spans="1:20" ht="21" x14ac:dyDescent="0.25">
      <c r="A23" s="6"/>
      <c r="B23" s="10">
        <v>679</v>
      </c>
      <c r="C23">
        <v>3401</v>
      </c>
      <c r="D23">
        <v>11.4</v>
      </c>
      <c r="E23">
        <v>-6.6</v>
      </c>
      <c r="F23">
        <v>28</v>
      </c>
      <c r="G23">
        <v>3.45</v>
      </c>
      <c r="H23">
        <v>222</v>
      </c>
      <c r="I23">
        <v>27</v>
      </c>
      <c r="J23">
        <v>317.8</v>
      </c>
      <c r="K23">
        <v>329.3</v>
      </c>
      <c r="L23">
        <v>318.5</v>
      </c>
      <c r="M23" s="24">
        <v>14.482203996528597</v>
      </c>
      <c r="N23" s="25">
        <f t="shared" si="4"/>
        <v>257</v>
      </c>
      <c r="O23" s="29">
        <f t="shared" si="5"/>
        <v>1.0831853792052704E-2</v>
      </c>
      <c r="P23" s="30">
        <f t="shared" si="6"/>
        <v>27.308944824909517</v>
      </c>
      <c r="Q23" s="37"/>
      <c r="R23">
        <f t="shared" si="3"/>
        <v>377.91931978529612</v>
      </c>
      <c r="S23">
        <f t="shared" si="1"/>
        <v>2.8752998375690514E-3</v>
      </c>
      <c r="T23">
        <f t="shared" si="2"/>
        <v>0.73895205825524624</v>
      </c>
    </row>
    <row r="24" spans="1:20" ht="21" x14ac:dyDescent="0.25">
      <c r="A24" s="6"/>
      <c r="B24" s="10">
        <v>658.3</v>
      </c>
      <c r="C24">
        <v>3658</v>
      </c>
      <c r="D24">
        <v>9.6999999999999993</v>
      </c>
      <c r="E24">
        <v>-8.3000000000000007</v>
      </c>
      <c r="F24">
        <v>27</v>
      </c>
      <c r="G24">
        <v>3.13</v>
      </c>
      <c r="H24">
        <v>235</v>
      </c>
      <c r="I24">
        <v>28</v>
      </c>
      <c r="J24">
        <v>318.8</v>
      </c>
      <c r="K24">
        <v>329.3</v>
      </c>
      <c r="L24">
        <v>319.39999999999998</v>
      </c>
      <c r="M24" s="24">
        <v>13.444062832392888</v>
      </c>
      <c r="N24" s="25">
        <f t="shared" si="4"/>
        <v>207</v>
      </c>
      <c r="O24" s="29">
        <f t="shared" si="5"/>
        <v>1.3236920036743463E-2</v>
      </c>
      <c r="P24" s="30">
        <f t="shared" si="6"/>
        <v>26.879816411013849</v>
      </c>
      <c r="Q24" s="37"/>
      <c r="R24">
        <f t="shared" si="3"/>
        <v>331.67746093996931</v>
      </c>
      <c r="S24">
        <f t="shared" si="1"/>
        <v>2.538647563197279E-3</v>
      </c>
      <c r="T24">
        <f t="shared" si="2"/>
        <v>0.52550004558183672</v>
      </c>
    </row>
    <row r="25" spans="1:20" ht="21" x14ac:dyDescent="0.25">
      <c r="A25" s="6"/>
      <c r="B25" s="10">
        <v>642</v>
      </c>
      <c r="C25">
        <v>3865</v>
      </c>
      <c r="D25">
        <v>8.4</v>
      </c>
      <c r="E25">
        <v>-9.6</v>
      </c>
      <c r="F25">
        <v>27</v>
      </c>
      <c r="G25">
        <v>2.89</v>
      </c>
      <c r="H25">
        <v>242</v>
      </c>
      <c r="I25">
        <v>29</v>
      </c>
      <c r="J25">
        <v>319.60000000000002</v>
      </c>
      <c r="K25">
        <v>329.3</v>
      </c>
      <c r="L25">
        <v>320.10000000000002</v>
      </c>
      <c r="M25" s="24">
        <v>12.595083482384325</v>
      </c>
      <c r="N25" s="25">
        <f t="shared" si="4"/>
        <v>195</v>
      </c>
      <c r="O25" s="29">
        <f t="shared" si="5"/>
        <v>1.4899959092112681E-2</v>
      </c>
      <c r="P25" s="30">
        <f t="shared" si="6"/>
        <v>28.502876745256955</v>
      </c>
      <c r="Q25" s="37"/>
      <c r="R25">
        <f t="shared" si="3"/>
        <v>299.83106383701568</v>
      </c>
      <c r="S25">
        <f t="shared" si="1"/>
        <v>2.3054925836978532E-3</v>
      </c>
      <c r="T25">
        <f t="shared" si="2"/>
        <v>0.44957105382108137</v>
      </c>
    </row>
    <row r="26" spans="1:20" ht="21" x14ac:dyDescent="0.25">
      <c r="A26" s="6"/>
      <c r="B26" s="10">
        <v>627</v>
      </c>
      <c r="C26">
        <v>4060</v>
      </c>
      <c r="D26">
        <v>6.8</v>
      </c>
      <c r="E26">
        <v>-0.2</v>
      </c>
      <c r="F26">
        <v>61</v>
      </c>
      <c r="G26">
        <v>6.05</v>
      </c>
      <c r="H26">
        <v>248</v>
      </c>
      <c r="I26">
        <v>30</v>
      </c>
      <c r="J26">
        <v>319.89999999999998</v>
      </c>
      <c r="K26">
        <v>339.7</v>
      </c>
      <c r="L26">
        <v>321.10000000000002</v>
      </c>
      <c r="M26" s="24">
        <v>11.787433231833688</v>
      </c>
      <c r="N26" s="25">
        <f t="shared" si="4"/>
        <v>207</v>
      </c>
      <c r="O26" s="29">
        <f t="shared" si="5"/>
        <v>1.7815442871347342E-2</v>
      </c>
      <c r="P26" s="30">
        <f t="shared" si="6"/>
        <v>36.17728537555891</v>
      </c>
      <c r="Q26" s="37"/>
      <c r="R26">
        <f t="shared" si="3"/>
        <v>608.78192990668026</v>
      </c>
      <c r="S26">
        <f t="shared" si="1"/>
        <v>4.7078640890290038E-3</v>
      </c>
      <c r="T26">
        <f t="shared" si="2"/>
        <v>0.9745278664290038</v>
      </c>
    </row>
    <row r="27" spans="1:20" ht="21" x14ac:dyDescent="0.25">
      <c r="A27" s="6"/>
      <c r="B27" s="10">
        <v>611.29999999999995</v>
      </c>
      <c r="C27">
        <v>4267</v>
      </c>
      <c r="D27">
        <v>5.6</v>
      </c>
      <c r="E27">
        <v>-7.7</v>
      </c>
      <c r="F27">
        <v>38</v>
      </c>
      <c r="G27">
        <v>3.51</v>
      </c>
      <c r="H27">
        <v>255</v>
      </c>
      <c r="I27">
        <v>31</v>
      </c>
      <c r="J27">
        <v>320.89999999999998</v>
      </c>
      <c r="K27">
        <v>332.7</v>
      </c>
      <c r="L27">
        <v>321.5</v>
      </c>
      <c r="M27" s="24">
        <v>10.913018222626931</v>
      </c>
      <c r="N27" s="25">
        <f t="shared" si="4"/>
        <v>249</v>
      </c>
      <c r="O27" s="29">
        <f t="shared" si="5"/>
        <v>1.9060155058751325E-2</v>
      </c>
      <c r="P27" s="30">
        <f t="shared" si="6"/>
        <v>46.558050160461278</v>
      </c>
      <c r="Q27" s="37"/>
      <c r="R27">
        <f t="shared" si="3"/>
        <v>347.37989087302162</v>
      </c>
      <c r="S27">
        <f t="shared" si="1"/>
        <v>2.6979409117360263E-3</v>
      </c>
      <c r="T27">
        <f t="shared" si="2"/>
        <v>0.67178728702227053</v>
      </c>
    </row>
    <row r="28" spans="1:20" ht="21" x14ac:dyDescent="0.25">
      <c r="A28" s="6"/>
      <c r="B28" s="10">
        <v>593</v>
      </c>
      <c r="C28">
        <v>4516</v>
      </c>
      <c r="D28">
        <v>4.2</v>
      </c>
      <c r="E28">
        <v>-16.8</v>
      </c>
      <c r="F28">
        <v>20</v>
      </c>
      <c r="G28">
        <v>1.74</v>
      </c>
      <c r="H28">
        <v>263</v>
      </c>
      <c r="I28">
        <v>30</v>
      </c>
      <c r="J28">
        <v>322</v>
      </c>
      <c r="K28">
        <v>328.1</v>
      </c>
      <c r="L28">
        <v>322.39999999999998</v>
      </c>
      <c r="M28" s="24">
        <v>9.8535712416819479</v>
      </c>
      <c r="N28" s="25">
        <f t="shared" si="4"/>
        <v>56</v>
      </c>
      <c r="O28" s="29">
        <f t="shared" si="5"/>
        <v>2.0384248212301958E-2</v>
      </c>
      <c r="P28" s="30">
        <f t="shared" si="6"/>
        <v>11.198290597910203</v>
      </c>
      <c r="Q28" s="37"/>
      <c r="R28">
        <f t="shared" si="3"/>
        <v>168.27645880488569</v>
      </c>
      <c r="S28">
        <f t="shared" si="1"/>
        <v>1.3135234467865136E-3</v>
      </c>
      <c r="T28">
        <f t="shared" si="2"/>
        <v>7.3557313020044757E-2</v>
      </c>
    </row>
    <row r="29" spans="1:20" ht="21" x14ac:dyDescent="0.25">
      <c r="A29" s="6"/>
      <c r="B29" s="10">
        <v>588.79999999999995</v>
      </c>
      <c r="C29">
        <v>4572</v>
      </c>
      <c r="D29">
        <v>3.7</v>
      </c>
      <c r="E29">
        <v>-16.899999999999999</v>
      </c>
      <c r="F29">
        <v>21</v>
      </c>
      <c r="G29">
        <v>1.74</v>
      </c>
      <c r="H29">
        <v>265</v>
      </c>
      <c r="I29">
        <v>30</v>
      </c>
      <c r="J29">
        <v>322.10000000000002</v>
      </c>
      <c r="K29">
        <v>328.2</v>
      </c>
      <c r="L29">
        <v>322.39999999999998</v>
      </c>
      <c r="M29" s="24">
        <v>9.603856711732135</v>
      </c>
      <c r="N29" s="25">
        <f t="shared" si="4"/>
        <v>305</v>
      </c>
      <c r="O29" s="29">
        <f t="shared" si="5"/>
        <v>2.1325110029735004E-2</v>
      </c>
      <c r="P29" s="30">
        <f t="shared" si="6"/>
        <v>63.805795464468623</v>
      </c>
      <c r="Q29" s="37"/>
      <c r="R29">
        <f t="shared" si="3"/>
        <v>166.89373632524615</v>
      </c>
      <c r="S29">
        <f t="shared" si="1"/>
        <v>1.3050830378145437E-3</v>
      </c>
      <c r="T29">
        <f t="shared" si="2"/>
        <v>0.39805032653343581</v>
      </c>
    </row>
    <row r="30" spans="1:20" ht="21" x14ac:dyDescent="0.25">
      <c r="A30" s="6"/>
      <c r="B30" s="10">
        <v>566.6</v>
      </c>
      <c r="C30">
        <v>4877</v>
      </c>
      <c r="D30">
        <v>0.9</v>
      </c>
      <c r="E30">
        <v>-17.100000000000001</v>
      </c>
      <c r="F30">
        <v>25</v>
      </c>
      <c r="G30">
        <v>1.77</v>
      </c>
      <c r="H30">
        <v>265</v>
      </c>
      <c r="I30">
        <v>31</v>
      </c>
      <c r="J30">
        <v>322.39999999999998</v>
      </c>
      <c r="K30">
        <v>328.6</v>
      </c>
      <c r="L30">
        <v>322.7</v>
      </c>
      <c r="M30" s="24">
        <v>8.2413214877477117</v>
      </c>
      <c r="N30" s="25">
        <f t="shared" si="4"/>
        <v>993</v>
      </c>
      <c r="O30" s="29">
        <f t="shared" si="5"/>
        <v>2.6788255748030333E-2</v>
      </c>
      <c r="P30" s="30">
        <f t="shared" si="6"/>
        <v>260.95323936596031</v>
      </c>
      <c r="Q30" s="37"/>
      <c r="R30">
        <f t="shared" si="3"/>
        <v>164.15910943765832</v>
      </c>
      <c r="S30">
        <f t="shared" si="1"/>
        <v>1.2968143765898072E-3</v>
      </c>
      <c r="T30">
        <f t="shared" si="2"/>
        <v>1.2877366759536786</v>
      </c>
    </row>
    <row r="31" spans="1:20" ht="21" x14ac:dyDescent="0.25">
      <c r="A31" s="6"/>
      <c r="B31" s="10">
        <v>500</v>
      </c>
      <c r="C31">
        <v>5870</v>
      </c>
      <c r="D31">
        <v>-8.1</v>
      </c>
      <c r="E31">
        <v>-18.100000000000001</v>
      </c>
      <c r="F31">
        <v>44</v>
      </c>
      <c r="G31">
        <v>1.85</v>
      </c>
      <c r="H31">
        <v>255</v>
      </c>
      <c r="I31">
        <v>31</v>
      </c>
      <c r="J31">
        <v>323.10000000000002</v>
      </c>
      <c r="K31">
        <v>329.6</v>
      </c>
      <c r="L31">
        <v>323.5</v>
      </c>
      <c r="M31" s="24">
        <v>3.6418877780680532</v>
      </c>
      <c r="N31" s="25">
        <f t="shared" si="4"/>
        <v>226</v>
      </c>
      <c r="O31" s="29">
        <f t="shared" si="5"/>
        <v>4.4300651869715352E-2</v>
      </c>
      <c r="P31" s="30">
        <f t="shared" si="6"/>
        <v>98.217203234271111</v>
      </c>
      <c r="Q31" s="37"/>
      <c r="R31">
        <f t="shared" si="3"/>
        <v>151.08485954166571</v>
      </c>
      <c r="S31">
        <f t="shared" si="1"/>
        <v>1.234058569295567E-3</v>
      </c>
      <c r="T31">
        <f t="shared" si="2"/>
        <v>0.27889723666079813</v>
      </c>
    </row>
    <row r="32" spans="1:20" ht="21" x14ac:dyDescent="0.25">
      <c r="A32" s="6"/>
      <c r="B32" s="10">
        <v>485.6</v>
      </c>
      <c r="C32">
        <v>6096</v>
      </c>
      <c r="D32">
        <v>-10.3</v>
      </c>
      <c r="E32">
        <v>-19</v>
      </c>
      <c r="F32">
        <v>49</v>
      </c>
      <c r="G32">
        <v>1.77</v>
      </c>
      <c r="H32">
        <v>255</v>
      </c>
      <c r="I32">
        <v>32</v>
      </c>
      <c r="J32">
        <v>323.10000000000002</v>
      </c>
      <c r="K32">
        <v>329.3</v>
      </c>
      <c r="L32">
        <v>323.39999999999998</v>
      </c>
      <c r="M32" s="24">
        <v>2.5261975439584603</v>
      </c>
      <c r="N32" s="25">
        <f t="shared" si="4"/>
        <v>284</v>
      </c>
      <c r="O32" s="29">
        <f t="shared" si="5"/>
        <v>4.8796642739046846E-2</v>
      </c>
      <c r="P32" s="30">
        <f t="shared" si="6"/>
        <v>135.94939853669408</v>
      </c>
      <c r="Q32" s="37"/>
      <c r="R32">
        <f t="shared" si="3"/>
        <v>140.13247472516574</v>
      </c>
      <c r="S32">
        <f t="shared" si="1"/>
        <v>1.1541797379057198E-3</v>
      </c>
      <c r="T32">
        <f t="shared" si="2"/>
        <v>0.32778704556522442</v>
      </c>
    </row>
    <row r="33" spans="1:20" ht="21" x14ac:dyDescent="0.25">
      <c r="A33" s="6"/>
      <c r="B33" s="10">
        <v>468</v>
      </c>
      <c r="C33">
        <v>6380</v>
      </c>
      <c r="D33">
        <v>-13.1</v>
      </c>
      <c r="E33">
        <v>-20.100000000000001</v>
      </c>
      <c r="F33">
        <v>56</v>
      </c>
      <c r="G33">
        <v>1.67</v>
      </c>
      <c r="H33">
        <v>255</v>
      </c>
      <c r="I33">
        <v>34</v>
      </c>
      <c r="J33">
        <v>323.10000000000002</v>
      </c>
      <c r="K33">
        <v>328.9</v>
      </c>
      <c r="L33">
        <v>323.39999999999998</v>
      </c>
      <c r="M33" s="24">
        <v>1.0917347774038149</v>
      </c>
      <c r="N33" s="25">
        <f t="shared" si="4"/>
        <v>66</v>
      </c>
      <c r="O33" s="29">
        <f t="shared" si="5"/>
        <v>5.4573100470693393E-2</v>
      </c>
      <c r="P33" s="30">
        <f t="shared" si="6"/>
        <v>35.333899630755148</v>
      </c>
      <c r="Q33" s="37"/>
      <c r="R33">
        <f t="shared" si="3"/>
        <v>127.72568196692012</v>
      </c>
      <c r="S33">
        <f t="shared" si="1"/>
        <v>1.0633200611711519E-3</v>
      </c>
      <c r="T33">
        <f t="shared" si="2"/>
        <v>7.0179124037296023E-2</v>
      </c>
    </row>
    <row r="34" spans="1:20" ht="21" x14ac:dyDescent="0.25">
      <c r="A34" s="6"/>
      <c r="B34" s="10">
        <v>464</v>
      </c>
      <c r="C34">
        <v>6446</v>
      </c>
      <c r="D34">
        <v>-12.1</v>
      </c>
      <c r="E34">
        <v>-36.1</v>
      </c>
      <c r="F34">
        <v>12</v>
      </c>
      <c r="G34">
        <v>0.38</v>
      </c>
      <c r="H34">
        <v>255</v>
      </c>
      <c r="I34">
        <v>34</v>
      </c>
      <c r="J34">
        <v>325.10000000000002</v>
      </c>
      <c r="K34">
        <v>326.60000000000002</v>
      </c>
      <c r="L34">
        <v>325.2</v>
      </c>
      <c r="M34" s="24">
        <v>0.75430948441999135</v>
      </c>
      <c r="N34" s="25">
        <f t="shared" si="4"/>
        <v>50</v>
      </c>
      <c r="O34" s="29">
        <f t="shared" si="5"/>
        <v>4.9240794807201657E-2</v>
      </c>
      <c r="P34" s="30">
        <f t="shared" si="6"/>
        <v>24.152609852932414</v>
      </c>
      <c r="Q34" s="37"/>
      <c r="R34">
        <f t="shared" si="3"/>
        <v>30.090280364751059</v>
      </c>
      <c r="S34">
        <f t="shared" si="1"/>
        <v>2.4954287380715842E-4</v>
      </c>
      <c r="T34">
        <f t="shared" si="2"/>
        <v>1.2477143690357921E-2</v>
      </c>
    </row>
    <row r="35" spans="1:20" ht="21" x14ac:dyDescent="0.25">
      <c r="A35" s="6"/>
      <c r="B35" s="10">
        <v>461</v>
      </c>
      <c r="C35">
        <v>6496</v>
      </c>
      <c r="D35">
        <v>-12.1</v>
      </c>
      <c r="E35">
        <v>-43.1</v>
      </c>
      <c r="F35">
        <v>6</v>
      </c>
      <c r="G35">
        <v>0.18</v>
      </c>
      <c r="H35">
        <v>255</v>
      </c>
      <c r="I35">
        <v>35</v>
      </c>
      <c r="J35">
        <v>325.7</v>
      </c>
      <c r="K35">
        <v>326.39999999999998</v>
      </c>
      <c r="L35">
        <v>325.7</v>
      </c>
      <c r="M35" s="24">
        <v>0.49819643597186314</v>
      </c>
      <c r="N35" s="25">
        <f t="shared" si="4"/>
        <v>210</v>
      </c>
      <c r="O35" s="29">
        <f t="shared" si="5"/>
        <v>4.8259706707419518E-2</v>
      </c>
      <c r="P35" s="30">
        <f t="shared" si="6"/>
        <v>99.419821787954945</v>
      </c>
      <c r="Q35" s="37"/>
      <c r="R35">
        <f t="shared" si="3"/>
        <v>15.006466095750737</v>
      </c>
      <c r="S35">
        <f t="shared" si="1"/>
        <v>1.2445070733239439E-4</v>
      </c>
      <c r="T35">
        <f t="shared" si="2"/>
        <v>2.613464853980282E-2</v>
      </c>
    </row>
    <row r="36" spans="1:20" ht="21" x14ac:dyDescent="0.25">
      <c r="A36" s="6"/>
      <c r="B36" s="10">
        <v>448.5</v>
      </c>
      <c r="C36">
        <v>6706</v>
      </c>
      <c r="D36">
        <v>-13.1</v>
      </c>
      <c r="E36">
        <v>-46.2</v>
      </c>
      <c r="F36">
        <v>4</v>
      </c>
      <c r="G36">
        <v>0.14000000000000001</v>
      </c>
      <c r="H36">
        <v>255</v>
      </c>
      <c r="I36">
        <v>36</v>
      </c>
      <c r="J36">
        <v>327.10000000000002</v>
      </c>
      <c r="K36">
        <v>327.60000000000002</v>
      </c>
      <c r="L36">
        <v>327.10000000000002</v>
      </c>
      <c r="M36" s="24">
        <v>-0.59756738180965385</v>
      </c>
      <c r="N36" s="25">
        <f t="shared" si="4"/>
        <v>181</v>
      </c>
      <c r="O36" s="29">
        <f t="shared" si="5"/>
        <v>4.8077033717324927E-2</v>
      </c>
      <c r="P36" s="30">
        <f t="shared" si="6"/>
        <v>85.36606183881932</v>
      </c>
      <c r="Q36" s="37"/>
      <c r="R36">
        <f t="shared" si="3"/>
        <v>10.8771525950662</v>
      </c>
      <c r="S36">
        <f t="shared" si="1"/>
        <v>9.0552615454026023E-5</v>
      </c>
      <c r="T36">
        <f t="shared" si="2"/>
        <v>1.639002339717871E-2</v>
      </c>
    </row>
    <row r="37" spans="1:20" ht="21" x14ac:dyDescent="0.25">
      <c r="A37" s="6"/>
      <c r="B37" s="10">
        <v>438</v>
      </c>
      <c r="C37">
        <v>6887</v>
      </c>
      <c r="D37">
        <v>-13.9</v>
      </c>
      <c r="E37">
        <v>-48.9</v>
      </c>
      <c r="F37">
        <v>3</v>
      </c>
      <c r="G37">
        <v>0.1</v>
      </c>
      <c r="H37">
        <v>250</v>
      </c>
      <c r="I37">
        <v>35</v>
      </c>
      <c r="J37">
        <v>328.2</v>
      </c>
      <c r="K37">
        <v>328.6</v>
      </c>
      <c r="L37">
        <v>328.2</v>
      </c>
      <c r="M37" s="24">
        <v>-1.555749733343248</v>
      </c>
      <c r="N37" s="25">
        <f t="shared" si="4"/>
        <v>683</v>
      </c>
      <c r="O37" s="29">
        <f t="shared" si="5"/>
        <v>4.7615237287007721E-2</v>
      </c>
      <c r="P37" s="30">
        <f t="shared" si="6"/>
        <v>319.03304132752777</v>
      </c>
      <c r="Q37" s="37"/>
      <c r="R37">
        <f t="shared" si="3"/>
        <v>8.1590119572978548</v>
      </c>
      <c r="S37">
        <f t="shared" si="1"/>
        <v>6.8133616241479198E-5</v>
      </c>
      <c r="T37">
        <f t="shared" si="2"/>
        <v>4.6535259892930295E-2</v>
      </c>
    </row>
    <row r="38" spans="1:20" ht="21" x14ac:dyDescent="0.25">
      <c r="A38" s="6"/>
      <c r="B38" s="10">
        <v>400</v>
      </c>
      <c r="C38">
        <v>7570</v>
      </c>
      <c r="D38">
        <v>-19.3</v>
      </c>
      <c r="E38">
        <v>-51.3</v>
      </c>
      <c r="F38">
        <v>4</v>
      </c>
      <c r="G38">
        <v>0.09</v>
      </c>
      <c r="H38">
        <v>230</v>
      </c>
      <c r="I38">
        <v>32</v>
      </c>
      <c r="J38">
        <v>329.8</v>
      </c>
      <c r="K38">
        <v>330.2</v>
      </c>
      <c r="L38">
        <v>329.8</v>
      </c>
      <c r="M38" s="24">
        <v>-5.3533881658420341</v>
      </c>
      <c r="N38" s="25">
        <f t="shared" si="4"/>
        <v>50</v>
      </c>
      <c r="O38" s="29">
        <f t="shared" si="5"/>
        <v>5.4940365704778289E-2</v>
      </c>
      <c r="P38" s="30">
        <f t="shared" si="6"/>
        <v>26.948249378193751</v>
      </c>
      <c r="Q38" s="37"/>
      <c r="R38">
        <f t="shared" si="3"/>
        <v>6.2817902948239066</v>
      </c>
      <c r="S38">
        <f t="shared" si="1"/>
        <v>5.3573362073765525E-5</v>
      </c>
      <c r="T38">
        <f t="shared" si="2"/>
        <v>2.6786681036882762E-3</v>
      </c>
    </row>
    <row r="39" spans="1:20" ht="21" x14ac:dyDescent="0.25">
      <c r="A39" s="6"/>
      <c r="B39" s="10">
        <v>397.3</v>
      </c>
      <c r="C39">
        <v>7620</v>
      </c>
      <c r="D39">
        <v>-19.7</v>
      </c>
      <c r="E39">
        <v>-51.6</v>
      </c>
      <c r="F39">
        <v>4</v>
      </c>
      <c r="G39">
        <v>0.08</v>
      </c>
      <c r="H39">
        <v>230</v>
      </c>
      <c r="I39">
        <v>32</v>
      </c>
      <c r="J39">
        <v>329.9</v>
      </c>
      <c r="K39">
        <v>330.3</v>
      </c>
      <c r="L39">
        <v>329.9</v>
      </c>
      <c r="M39" s="24">
        <v>-5.6454044130572356</v>
      </c>
      <c r="N39" s="25">
        <f t="shared" si="4"/>
        <v>804</v>
      </c>
      <c r="O39" s="29">
        <f t="shared" si="5"/>
        <v>5.5453129165290056E-2</v>
      </c>
      <c r="P39" s="30">
        <f t="shared" si="6"/>
        <v>437.37213847764241</v>
      </c>
      <c r="Q39" s="37"/>
      <c r="R39">
        <f t="shared" si="3"/>
        <v>6.0773770808899483</v>
      </c>
      <c r="S39">
        <f t="shared" si="1"/>
        <v>5.191185207932953E-5</v>
      </c>
      <c r="T39">
        <f t="shared" si="2"/>
        <v>4.173712907178094E-2</v>
      </c>
    </row>
    <row r="40" spans="1:20" ht="21" x14ac:dyDescent="0.25">
      <c r="A40" s="6"/>
      <c r="B40" s="10">
        <v>356</v>
      </c>
      <c r="C40">
        <v>8424</v>
      </c>
      <c r="D40">
        <v>-26.5</v>
      </c>
      <c r="E40">
        <v>-56.5</v>
      </c>
      <c r="F40">
        <v>4</v>
      </c>
      <c r="G40">
        <v>0.05</v>
      </c>
      <c r="H40">
        <v>246</v>
      </c>
      <c r="I40">
        <v>33</v>
      </c>
      <c r="J40">
        <v>331.3</v>
      </c>
      <c r="K40">
        <v>331.5</v>
      </c>
      <c r="L40">
        <v>331.3</v>
      </c>
      <c r="M40" s="24">
        <v>-10.558615297732103</v>
      </c>
      <c r="N40" s="25">
        <f t="shared" si="4"/>
        <v>415</v>
      </c>
      <c r="O40" s="29">
        <f t="shared" si="5"/>
        <v>6.4631602279618477E-2</v>
      </c>
      <c r="P40" s="30">
        <f t="shared" si="6"/>
        <v>263.12494762066876</v>
      </c>
      <c r="Q40" s="37"/>
      <c r="R40">
        <f t="shared" si="3"/>
        <v>3.4947707816321056</v>
      </c>
      <c r="S40">
        <f t="shared" si="1"/>
        <v>3.0674692075404727E-5</v>
      </c>
      <c r="T40">
        <f t="shared" si="2"/>
        <v>1.2729997211292962E-2</v>
      </c>
    </row>
    <row r="41" spans="1:20" ht="21" x14ac:dyDescent="0.25">
      <c r="A41" s="6"/>
      <c r="B41" s="10">
        <v>336</v>
      </c>
      <c r="C41">
        <v>8839</v>
      </c>
      <c r="D41">
        <v>-29</v>
      </c>
      <c r="E41">
        <v>-52.7</v>
      </c>
      <c r="F41">
        <v>8</v>
      </c>
      <c r="G41">
        <v>0.09</v>
      </c>
      <c r="H41">
        <v>255</v>
      </c>
      <c r="I41">
        <v>33</v>
      </c>
      <c r="J41">
        <v>333.4</v>
      </c>
      <c r="K41">
        <v>333.7</v>
      </c>
      <c r="L41">
        <v>333.4</v>
      </c>
      <c r="M41" s="24">
        <v>-13.292913638546736</v>
      </c>
      <c r="N41" s="25">
        <f t="shared" si="4"/>
        <v>108</v>
      </c>
      <c r="O41" s="29">
        <f t="shared" si="5"/>
        <v>6.4333755320308272E-2</v>
      </c>
      <c r="P41" s="30">
        <f t="shared" si="6"/>
        <v>68.160327086760205</v>
      </c>
      <c r="Q41" s="37"/>
      <c r="R41">
        <f t="shared" si="3"/>
        <v>5.3790020961508906</v>
      </c>
      <c r="S41">
        <f t="shared" si="1"/>
        <v>4.7696621797418525E-5</v>
      </c>
      <c r="T41">
        <f t="shared" si="2"/>
        <v>5.1512351541212007E-3</v>
      </c>
    </row>
    <row r="42" spans="1:20" ht="21" x14ac:dyDescent="0.25">
      <c r="A42" s="6"/>
      <c r="B42" s="10">
        <v>331</v>
      </c>
      <c r="C42">
        <v>8947</v>
      </c>
      <c r="D42">
        <v>-29.7</v>
      </c>
      <c r="E42">
        <v>-51.7</v>
      </c>
      <c r="F42">
        <v>10</v>
      </c>
      <c r="G42">
        <v>0.1</v>
      </c>
      <c r="H42">
        <v>256</v>
      </c>
      <c r="I42">
        <v>33</v>
      </c>
      <c r="J42">
        <v>333.9</v>
      </c>
      <c r="K42">
        <v>334.3</v>
      </c>
      <c r="L42">
        <v>333.9</v>
      </c>
      <c r="M42" s="24">
        <v>-14.019187241619875</v>
      </c>
      <c r="N42" s="25">
        <f t="shared" si="4"/>
        <v>441</v>
      </c>
      <c r="O42" s="29">
        <f t="shared" si="5"/>
        <v>6.4410814370014891E-2</v>
      </c>
      <c r="P42" s="30">
        <f t="shared" si="6"/>
        <v>278.65470923570211</v>
      </c>
      <c r="Q42" s="37"/>
      <c r="R42">
        <f t="shared" si="3"/>
        <v>6.0106086188543006</v>
      </c>
      <c r="S42">
        <f t="shared" si="1"/>
        <v>5.3450442678511264E-5</v>
      </c>
      <c r="T42">
        <f t="shared" si="2"/>
        <v>2.3571645221223469E-2</v>
      </c>
    </row>
    <row r="43" spans="1:20" ht="21" x14ac:dyDescent="0.25">
      <c r="A43" s="6"/>
      <c r="B43" s="10">
        <v>311</v>
      </c>
      <c r="C43">
        <v>9388</v>
      </c>
      <c r="D43">
        <v>-33.5</v>
      </c>
      <c r="E43">
        <v>-37.200000000000003</v>
      </c>
      <c r="F43">
        <v>69</v>
      </c>
      <c r="G43">
        <v>0.51</v>
      </c>
      <c r="H43">
        <v>259</v>
      </c>
      <c r="I43">
        <v>35</v>
      </c>
      <c r="J43">
        <v>334.6</v>
      </c>
      <c r="K43">
        <v>336.6</v>
      </c>
      <c r="L43">
        <v>334.7</v>
      </c>
      <c r="M43" s="24">
        <v>-17.117066584146983</v>
      </c>
      <c r="N43" s="25">
        <f t="shared" si="4"/>
        <v>252</v>
      </c>
      <c r="O43" s="29">
        <f t="shared" si="5"/>
        <v>6.8361917028387315E-2</v>
      </c>
      <c r="P43" s="30">
        <f t="shared" si="6"/>
        <v>168.99886232421687</v>
      </c>
      <c r="Q43" s="37"/>
      <c r="R43">
        <f t="shared" si="3"/>
        <v>27.0478734625027</v>
      </c>
      <c r="S43">
        <f t="shared" si="1"/>
        <v>2.4434211467664431E-4</v>
      </c>
      <c r="T43">
        <f t="shared" si="2"/>
        <v>6.1574212898514363E-2</v>
      </c>
    </row>
    <row r="44" spans="1:20" ht="21" x14ac:dyDescent="0.25">
      <c r="A44" s="6"/>
      <c r="B44" s="10">
        <v>300</v>
      </c>
      <c r="C44">
        <v>9640</v>
      </c>
      <c r="D44">
        <v>-35.5</v>
      </c>
      <c r="E44">
        <v>-39.299999999999997</v>
      </c>
      <c r="F44">
        <v>68</v>
      </c>
      <c r="G44">
        <v>0.42</v>
      </c>
      <c r="H44">
        <v>261</v>
      </c>
      <c r="I44">
        <v>36</v>
      </c>
      <c r="J44">
        <v>335.2</v>
      </c>
      <c r="K44">
        <v>336.9</v>
      </c>
      <c r="L44">
        <v>335.3</v>
      </c>
      <c r="M44" s="24">
        <v>-18.965299833855966</v>
      </c>
      <c r="N44" s="25">
        <f t="shared" si="4"/>
        <v>356</v>
      </c>
      <c r="O44" s="29">
        <f t="shared" si="5"/>
        <v>6.9575847532691082E-2</v>
      </c>
      <c r="P44" s="30">
        <f t="shared" si="6"/>
        <v>242.98390688926904</v>
      </c>
      <c r="Q44" s="37"/>
      <c r="R44">
        <f t="shared" si="3"/>
        <v>22.006248559883396</v>
      </c>
      <c r="S44">
        <f t="shared" si="1"/>
        <v>2.004706649316065E-4</v>
      </c>
      <c r="T44">
        <f t="shared" si="2"/>
        <v>7.1367556715651911E-2</v>
      </c>
    </row>
    <row r="45" spans="1:20" ht="21" x14ac:dyDescent="0.25">
      <c r="A45" s="6"/>
      <c r="B45" s="10">
        <v>285</v>
      </c>
      <c r="C45">
        <v>9996</v>
      </c>
      <c r="D45">
        <v>-38.1</v>
      </c>
      <c r="E45">
        <v>-41.8</v>
      </c>
      <c r="F45">
        <v>68</v>
      </c>
      <c r="G45">
        <v>0.34</v>
      </c>
      <c r="H45">
        <v>263</v>
      </c>
      <c r="I45">
        <v>38</v>
      </c>
      <c r="J45">
        <v>336.4</v>
      </c>
      <c r="K45">
        <v>337.8</v>
      </c>
      <c r="L45">
        <v>336.5</v>
      </c>
      <c r="M45" s="24">
        <v>-21.671122699194655</v>
      </c>
      <c r="N45" s="25">
        <f t="shared" si="4"/>
        <v>894</v>
      </c>
      <c r="O45" s="29">
        <f t="shared" si="5"/>
        <v>6.989524484494937E-2</v>
      </c>
      <c r="P45" s="30">
        <f t="shared" si="6"/>
        <v>612.99108262448431</v>
      </c>
      <c r="Q45" s="37"/>
      <c r="R45">
        <f t="shared" si="3"/>
        <v>17.130660593070967</v>
      </c>
      <c r="S45">
        <f t="shared" si="1"/>
        <v>1.5778164897184207E-4</v>
      </c>
      <c r="T45">
        <f t="shared" si="2"/>
        <v>0.14105679418082681</v>
      </c>
    </row>
    <row r="46" spans="1:20" ht="21" x14ac:dyDescent="0.25">
      <c r="A46" s="6"/>
      <c r="B46" s="10">
        <v>250</v>
      </c>
      <c r="C46">
        <v>10890</v>
      </c>
      <c r="D46">
        <v>-43.1</v>
      </c>
      <c r="I46">
        <v>270</v>
      </c>
      <c r="J46">
        <v>42</v>
      </c>
      <c r="K46">
        <v>341.9</v>
      </c>
      <c r="L46">
        <v>341.9</v>
      </c>
      <c r="M46" s="24">
        <v>-28.950417726947023</v>
      </c>
      <c r="N46" s="25">
        <f t="shared" si="4"/>
        <v>945</v>
      </c>
      <c r="O46" s="29">
        <f t="shared" si="5"/>
        <v>6.1506551936765831E-2</v>
      </c>
      <c r="P46" s="30">
        <f t="shared" si="6"/>
        <v>570.1934144021908</v>
      </c>
      <c r="Q46" s="37"/>
      <c r="R46" s="25"/>
      <c r="S46" s="25"/>
      <c r="T46" s="25"/>
    </row>
    <row r="47" spans="1:20" ht="21" x14ac:dyDescent="0.25">
      <c r="A47" s="6"/>
      <c r="B47" s="10">
        <v>217</v>
      </c>
      <c r="C47">
        <v>11835</v>
      </c>
      <c r="D47">
        <v>-46.9</v>
      </c>
      <c r="I47">
        <v>277</v>
      </c>
      <c r="J47">
        <v>46</v>
      </c>
      <c r="K47">
        <v>350.1</v>
      </c>
      <c r="L47">
        <v>350.1</v>
      </c>
      <c r="M47" s="24">
        <v>-37.294808280452656</v>
      </c>
      <c r="N47" s="25">
        <f t="shared" si="4"/>
        <v>535</v>
      </c>
      <c r="O47" s="29">
        <f t="shared" si="5"/>
        <v>4.245388605324793E-2</v>
      </c>
      <c r="P47" s="30">
        <f t="shared" si="6"/>
        <v>222.81285286756378</v>
      </c>
      <c r="Q47" s="37"/>
      <c r="R47" s="25"/>
      <c r="S47" s="25"/>
      <c r="T47" s="25"/>
    </row>
    <row r="48" spans="1:20" ht="21" x14ac:dyDescent="0.25">
      <c r="A48" s="6"/>
      <c r="B48" s="10">
        <v>200</v>
      </c>
      <c r="C48">
        <v>12370</v>
      </c>
      <c r="D48">
        <v>-51.7</v>
      </c>
      <c r="I48">
        <v>281</v>
      </c>
      <c r="J48">
        <v>49</v>
      </c>
      <c r="K48">
        <v>350.7</v>
      </c>
      <c r="L48">
        <v>350.7</v>
      </c>
      <c r="M48" s="24">
        <v>-42.243902262661521</v>
      </c>
      <c r="N48" s="25">
        <f t="shared" si="4"/>
        <v>1175</v>
      </c>
      <c r="O48" s="29">
        <f t="shared" si="5"/>
        <v>4.2700825185542933E-2</v>
      </c>
      <c r="P48" s="30">
        <f t="shared" si="6"/>
        <v>492.20173670745703</v>
      </c>
      <c r="Q48" s="37"/>
      <c r="R48" s="25"/>
      <c r="S48" s="25"/>
      <c r="T48" s="25"/>
    </row>
    <row r="49" spans="1:20" ht="21" x14ac:dyDescent="0.25">
      <c r="A49" s="6"/>
      <c r="B49" s="10">
        <v>166</v>
      </c>
      <c r="C49">
        <v>13545</v>
      </c>
      <c r="D49">
        <v>-61.9</v>
      </c>
      <c r="I49">
        <v>291</v>
      </c>
      <c r="J49">
        <v>55</v>
      </c>
      <c r="K49">
        <v>352.9</v>
      </c>
      <c r="L49">
        <v>352.9</v>
      </c>
      <c r="M49" s="24">
        <v>-53.638299348703953</v>
      </c>
      <c r="N49" s="25">
        <f t="shared" si="4"/>
        <v>463</v>
      </c>
      <c r="O49" s="29">
        <f t="shared" si="5"/>
        <v>3.9108642136312648E-2</v>
      </c>
      <c r="P49" s="30">
        <f t="shared" si="6"/>
        <v>177.63262584239615</v>
      </c>
      <c r="Q49" s="37"/>
      <c r="R49" s="25"/>
      <c r="S49" s="25"/>
      <c r="T49" s="25"/>
    </row>
    <row r="50" spans="1:20" ht="21" x14ac:dyDescent="0.25">
      <c r="A50" s="6"/>
      <c r="B50" s="10">
        <v>154</v>
      </c>
      <c r="C50">
        <v>14008</v>
      </c>
      <c r="D50">
        <v>-61.1</v>
      </c>
      <c r="I50">
        <v>295</v>
      </c>
      <c r="J50">
        <v>57</v>
      </c>
      <c r="K50">
        <v>361.9</v>
      </c>
      <c r="L50">
        <v>361.9</v>
      </c>
      <c r="M50" s="24">
        <v>-58.183998694587075</v>
      </c>
      <c r="N50" s="25">
        <f t="shared" si="4"/>
        <v>162</v>
      </c>
      <c r="O50" s="29">
        <f t="shared" si="5"/>
        <v>1.375147986518711E-2</v>
      </c>
      <c r="P50" s="30">
        <f t="shared" si="6"/>
        <v>21.854126831352659</v>
      </c>
      <c r="Q50" s="37"/>
      <c r="R50" s="25"/>
      <c r="S50" s="25"/>
      <c r="T50" s="25"/>
    </row>
    <row r="51" spans="1:20" ht="21" x14ac:dyDescent="0.25">
      <c r="A51" s="6"/>
      <c r="B51" s="10">
        <v>150</v>
      </c>
      <c r="C51">
        <v>14170</v>
      </c>
      <c r="D51">
        <v>-61.9</v>
      </c>
      <c r="I51">
        <v>296</v>
      </c>
      <c r="J51">
        <v>58</v>
      </c>
      <c r="K51">
        <v>363.2</v>
      </c>
      <c r="L51">
        <v>363.2</v>
      </c>
      <c r="M51" s="24">
        <v>-59.765945853503752</v>
      </c>
      <c r="N51" s="25">
        <f t="shared" si="4"/>
        <v>460</v>
      </c>
      <c r="O51" s="29">
        <f t="shared" si="5"/>
        <v>1.0102031462704129E-2</v>
      </c>
      <c r="P51" s="30">
        <f t="shared" si="6"/>
        <v>45.586427178598655</v>
      </c>
      <c r="Q51" s="37"/>
      <c r="R51" s="25"/>
      <c r="S51" s="25"/>
      <c r="T51" s="25"/>
    </row>
    <row r="52" spans="1:20" ht="21" x14ac:dyDescent="0.25">
      <c r="A52" s="6"/>
      <c r="B52" s="10">
        <v>139.1</v>
      </c>
      <c r="C52">
        <v>14630</v>
      </c>
      <c r="D52">
        <v>-66.2</v>
      </c>
      <c r="I52">
        <v>300</v>
      </c>
      <c r="J52">
        <v>60</v>
      </c>
      <c r="K52">
        <v>363.6</v>
      </c>
      <c r="L52">
        <v>363.6</v>
      </c>
      <c r="M52" s="24">
        <v>-64.257239897776856</v>
      </c>
      <c r="N52" s="25">
        <f t="shared" si="4"/>
        <v>228</v>
      </c>
      <c r="O52" s="29">
        <f t="shared" si="5"/>
        <v>9.3875820353860693E-3</v>
      </c>
      <c r="P52" s="30">
        <f t="shared" si="6"/>
        <v>20.997016986907315</v>
      </c>
      <c r="Q52" s="37"/>
      <c r="R52" s="25"/>
      <c r="S52" s="25"/>
      <c r="T52" s="25"/>
    </row>
    <row r="53" spans="1:20" s="19" customFormat="1" ht="22" x14ac:dyDescent="0.3">
      <c r="A53" s="18" t="s">
        <v>119</v>
      </c>
      <c r="B53" s="19">
        <v>134</v>
      </c>
      <c r="C53" s="19">
        <v>14858</v>
      </c>
      <c r="D53" s="19">
        <v>-68.3</v>
      </c>
      <c r="I53" s="19">
        <v>310</v>
      </c>
      <c r="J53" s="19">
        <v>46</v>
      </c>
      <c r="K53" s="19">
        <v>363.8</v>
      </c>
      <c r="L53" s="19">
        <v>363.8</v>
      </c>
      <c r="M53" s="24">
        <v>-66.454820407504883</v>
      </c>
      <c r="N53" s="25">
        <f t="shared" si="4"/>
        <v>382</v>
      </c>
      <c r="O53" s="29">
        <f t="shared" si="5"/>
        <v>9.0074668903837654E-3</v>
      </c>
      <c r="P53" s="30">
        <f t="shared" si="6"/>
        <v>33.754761574361929</v>
      </c>
      <c r="Q53" s="37"/>
      <c r="R53" s="25"/>
      <c r="S53" s="25"/>
      <c r="T53" s="25"/>
    </row>
    <row r="54" spans="1:20" ht="24" x14ac:dyDescent="0.3">
      <c r="A54" s="6"/>
      <c r="B54">
        <v>125.8</v>
      </c>
      <c r="C54">
        <v>15240</v>
      </c>
      <c r="D54">
        <v>-68.099999999999994</v>
      </c>
      <c r="I54">
        <v>310</v>
      </c>
      <c r="J54">
        <v>44</v>
      </c>
      <c r="K54">
        <v>370.7</v>
      </c>
      <c r="L54">
        <v>370.7</v>
      </c>
      <c r="N54" s="25">
        <f t="shared" si="4"/>
        <v>305</v>
      </c>
      <c r="O54" s="33"/>
      <c r="P54" s="34"/>
      <c r="Q54" s="39"/>
      <c r="R54" s="7"/>
      <c r="S54" s="7"/>
      <c r="T54" s="7"/>
    </row>
    <row r="55" spans="1:20" ht="22" thickBot="1" x14ac:dyDescent="0.3">
      <c r="A55" s="6"/>
      <c r="B55">
        <v>119.5</v>
      </c>
      <c r="C55">
        <v>15545</v>
      </c>
      <c r="D55">
        <v>-68</v>
      </c>
      <c r="I55">
        <v>310</v>
      </c>
      <c r="J55">
        <v>45</v>
      </c>
      <c r="K55">
        <v>376.4</v>
      </c>
      <c r="L55">
        <v>376.4</v>
      </c>
      <c r="N55" s="25">
        <f t="shared" si="4"/>
        <v>914</v>
      </c>
      <c r="O55" s="35"/>
      <c r="P55" s="36"/>
      <c r="Q55" s="37"/>
      <c r="R55" s="25"/>
      <c r="S55" s="25"/>
      <c r="T55" s="25"/>
    </row>
    <row r="56" spans="1:20" ht="21" x14ac:dyDescent="0.25">
      <c r="A56" s="6"/>
      <c r="B56">
        <v>102.7</v>
      </c>
      <c r="C56">
        <v>16459</v>
      </c>
      <c r="D56">
        <v>-67.599999999999994</v>
      </c>
      <c r="I56">
        <v>270</v>
      </c>
      <c r="J56">
        <v>25</v>
      </c>
      <c r="K56">
        <v>393.9</v>
      </c>
      <c r="L56">
        <v>393.9</v>
      </c>
      <c r="N56" s="25">
        <f t="shared" si="4"/>
        <v>161</v>
      </c>
    </row>
    <row r="57" spans="1:20" ht="21" x14ac:dyDescent="0.25">
      <c r="A57" s="6"/>
      <c r="B57">
        <v>100</v>
      </c>
      <c r="C57">
        <v>16620</v>
      </c>
      <c r="D57">
        <v>-67.5</v>
      </c>
      <c r="I57">
        <v>280</v>
      </c>
      <c r="J57">
        <v>38</v>
      </c>
      <c r="K57">
        <v>397.1</v>
      </c>
      <c r="L57">
        <v>397.1</v>
      </c>
      <c r="N57" s="25">
        <f t="shared" si="4"/>
        <v>144</v>
      </c>
    </row>
    <row r="58" spans="1:20" ht="21" x14ac:dyDescent="0.25">
      <c r="A58" s="6"/>
      <c r="B58">
        <v>97.6</v>
      </c>
      <c r="C58">
        <v>16764</v>
      </c>
      <c r="D58">
        <v>-67.7</v>
      </c>
      <c r="I58">
        <v>280</v>
      </c>
      <c r="J58">
        <v>38</v>
      </c>
      <c r="K58">
        <v>399.5</v>
      </c>
      <c r="L58">
        <v>399.5</v>
      </c>
      <c r="N58" s="25">
        <f t="shared" si="4"/>
        <v>418</v>
      </c>
    </row>
    <row r="59" spans="1:20" ht="21" x14ac:dyDescent="0.25">
      <c r="A59" s="6"/>
      <c r="B59">
        <v>91.1</v>
      </c>
      <c r="C59">
        <v>17182</v>
      </c>
      <c r="D59">
        <v>-68.099999999999994</v>
      </c>
      <c r="I59">
        <v>283</v>
      </c>
      <c r="J59">
        <v>31</v>
      </c>
      <c r="K59">
        <v>406.6</v>
      </c>
      <c r="L59">
        <v>406.6</v>
      </c>
      <c r="N59" s="25">
        <f t="shared" si="4"/>
        <v>176</v>
      </c>
    </row>
    <row r="60" spans="1:20" ht="21" x14ac:dyDescent="0.25">
      <c r="A60" s="6"/>
      <c r="B60">
        <v>88.5</v>
      </c>
      <c r="C60">
        <v>17358</v>
      </c>
      <c r="D60">
        <v>-63.9</v>
      </c>
      <c r="I60">
        <v>285</v>
      </c>
      <c r="J60">
        <v>28</v>
      </c>
      <c r="K60">
        <v>418.4</v>
      </c>
      <c r="L60">
        <v>418.4</v>
      </c>
      <c r="N60" s="25">
        <f t="shared" si="4"/>
        <v>16</v>
      </c>
    </row>
    <row r="61" spans="1:20" ht="21" x14ac:dyDescent="0.25">
      <c r="A61" s="6"/>
      <c r="B61">
        <v>88.3</v>
      </c>
      <c r="C61">
        <v>17374</v>
      </c>
      <c r="D61">
        <v>-64</v>
      </c>
      <c r="I61">
        <v>285</v>
      </c>
      <c r="J61">
        <v>28</v>
      </c>
      <c r="K61">
        <v>418.5</v>
      </c>
      <c r="L61">
        <v>418.5</v>
      </c>
      <c r="N61" s="25">
        <f t="shared" si="4"/>
        <v>304</v>
      </c>
    </row>
    <row r="62" spans="1:20" ht="21" x14ac:dyDescent="0.25">
      <c r="A62" s="6"/>
      <c r="B62">
        <v>84</v>
      </c>
      <c r="C62">
        <v>17678</v>
      </c>
      <c r="D62">
        <v>-65.3</v>
      </c>
      <c r="I62">
        <v>250</v>
      </c>
      <c r="J62">
        <v>5</v>
      </c>
      <c r="K62">
        <v>421.7</v>
      </c>
      <c r="L62">
        <v>421.7</v>
      </c>
      <c r="N62" s="25">
        <f t="shared" si="4"/>
        <v>305</v>
      </c>
    </row>
    <row r="63" spans="1:20" ht="21" x14ac:dyDescent="0.25">
      <c r="A63" s="6"/>
      <c r="B63">
        <v>79.900000000000006</v>
      </c>
      <c r="C63">
        <v>17983</v>
      </c>
      <c r="D63">
        <v>-66.7</v>
      </c>
      <c r="I63">
        <v>165</v>
      </c>
      <c r="J63">
        <v>11</v>
      </c>
      <c r="K63">
        <v>425</v>
      </c>
      <c r="L63">
        <v>425</v>
      </c>
      <c r="N63" s="25">
        <f t="shared" si="4"/>
        <v>130</v>
      </c>
    </row>
    <row r="64" spans="1:20" ht="21" x14ac:dyDescent="0.25">
      <c r="A64" s="6"/>
      <c r="B64">
        <v>78.2</v>
      </c>
      <c r="C64">
        <v>18113</v>
      </c>
      <c r="D64">
        <v>-67.3</v>
      </c>
      <c r="I64">
        <v>186</v>
      </c>
      <c r="J64">
        <v>12</v>
      </c>
      <c r="K64">
        <v>426.4</v>
      </c>
      <c r="L64">
        <v>426.4</v>
      </c>
      <c r="N64" s="25">
        <f t="shared" si="4"/>
        <v>480</v>
      </c>
    </row>
    <row r="65" spans="1:14" ht="21" x14ac:dyDescent="0.25">
      <c r="A65" s="6"/>
      <c r="B65">
        <v>72.3</v>
      </c>
      <c r="C65">
        <v>18593</v>
      </c>
      <c r="D65">
        <v>-63.9</v>
      </c>
      <c r="I65">
        <v>265</v>
      </c>
      <c r="J65">
        <v>17</v>
      </c>
      <c r="K65">
        <v>443.2</v>
      </c>
      <c r="L65">
        <v>443.2</v>
      </c>
      <c r="N65" s="25">
        <f t="shared" si="4"/>
        <v>197</v>
      </c>
    </row>
    <row r="66" spans="1:14" ht="21" x14ac:dyDescent="0.25">
      <c r="A66" s="6"/>
      <c r="B66">
        <v>70</v>
      </c>
      <c r="C66">
        <v>18790</v>
      </c>
      <c r="D66">
        <v>-62.5</v>
      </c>
      <c r="I66">
        <v>200</v>
      </c>
      <c r="J66">
        <v>2</v>
      </c>
      <c r="K66">
        <v>450.3</v>
      </c>
      <c r="L66">
        <v>450.3</v>
      </c>
      <c r="N66" s="25">
        <f t="shared" si="4"/>
        <v>108</v>
      </c>
    </row>
    <row r="67" spans="1:14" ht="21" x14ac:dyDescent="0.25">
      <c r="A67" s="6"/>
      <c r="B67">
        <v>68.8</v>
      </c>
      <c r="C67">
        <v>18898</v>
      </c>
      <c r="D67">
        <v>-62</v>
      </c>
      <c r="I67">
        <v>280</v>
      </c>
      <c r="J67">
        <v>12</v>
      </c>
      <c r="K67">
        <v>453.6</v>
      </c>
      <c r="L67">
        <v>453.6</v>
      </c>
      <c r="N67" s="25">
        <f t="shared" si="4"/>
        <v>304</v>
      </c>
    </row>
    <row r="68" spans="1:14" ht="21" x14ac:dyDescent="0.25">
      <c r="A68" s="6"/>
      <c r="B68">
        <v>65.5</v>
      </c>
      <c r="C68">
        <v>19202</v>
      </c>
      <c r="D68">
        <v>-60.6</v>
      </c>
      <c r="I68">
        <v>210</v>
      </c>
      <c r="J68">
        <v>2</v>
      </c>
      <c r="K68">
        <v>463</v>
      </c>
      <c r="L68">
        <v>463</v>
      </c>
      <c r="N68" s="25">
        <f t="shared" si="4"/>
        <v>604</v>
      </c>
    </row>
    <row r="69" spans="1:14" ht="21" x14ac:dyDescent="0.25">
      <c r="A69" s="6"/>
      <c r="B69">
        <v>59.5</v>
      </c>
      <c r="C69">
        <v>19806</v>
      </c>
      <c r="D69">
        <v>-57.9</v>
      </c>
      <c r="I69">
        <v>121</v>
      </c>
      <c r="J69">
        <v>5</v>
      </c>
      <c r="K69">
        <v>482</v>
      </c>
      <c r="L69">
        <v>482</v>
      </c>
      <c r="N69" s="25">
        <f t="shared" si="4"/>
        <v>6</v>
      </c>
    </row>
    <row r="70" spans="1:14" ht="21" x14ac:dyDescent="0.25">
      <c r="A70" s="6"/>
      <c r="B70">
        <v>59.4</v>
      </c>
      <c r="C70">
        <v>19812</v>
      </c>
      <c r="D70">
        <v>-57.9</v>
      </c>
      <c r="I70">
        <v>120</v>
      </c>
      <c r="J70">
        <v>5</v>
      </c>
      <c r="K70">
        <v>482.1</v>
      </c>
      <c r="L70">
        <v>482.1</v>
      </c>
      <c r="N70" s="25">
        <f t="shared" si="4"/>
        <v>305</v>
      </c>
    </row>
    <row r="71" spans="1:14" ht="21" x14ac:dyDescent="0.25">
      <c r="A71" s="6"/>
      <c r="B71">
        <v>56.6</v>
      </c>
      <c r="C71">
        <v>20117</v>
      </c>
      <c r="D71">
        <v>-59.2</v>
      </c>
      <c r="I71">
        <v>90</v>
      </c>
      <c r="J71">
        <v>12</v>
      </c>
      <c r="K71">
        <v>485.9</v>
      </c>
      <c r="L71">
        <v>485.9</v>
      </c>
      <c r="N71" s="25">
        <f t="shared" si="4"/>
        <v>115</v>
      </c>
    </row>
    <row r="72" spans="1:14" ht="21" x14ac:dyDescent="0.25">
      <c r="A72" s="6"/>
      <c r="B72">
        <v>55.6</v>
      </c>
      <c r="C72">
        <v>20232</v>
      </c>
      <c r="D72">
        <v>-59.7</v>
      </c>
      <c r="I72">
        <v>98</v>
      </c>
      <c r="J72">
        <v>9</v>
      </c>
      <c r="K72">
        <v>487.4</v>
      </c>
      <c r="L72">
        <v>487.4</v>
      </c>
      <c r="N72" s="25">
        <f t="shared" si="4"/>
        <v>190</v>
      </c>
    </row>
    <row r="73" spans="1:14" ht="21" x14ac:dyDescent="0.25">
      <c r="A73" s="6"/>
      <c r="B73">
        <v>54</v>
      </c>
      <c r="C73">
        <v>20422</v>
      </c>
      <c r="D73">
        <v>-59.1</v>
      </c>
      <c r="I73">
        <v>110</v>
      </c>
      <c r="J73">
        <v>3</v>
      </c>
      <c r="K73">
        <v>492.9</v>
      </c>
      <c r="L73">
        <v>492.9</v>
      </c>
      <c r="N73" s="25">
        <f t="shared" si="4"/>
        <v>304</v>
      </c>
    </row>
    <row r="74" spans="1:14" ht="21" x14ac:dyDescent="0.25">
      <c r="A74" s="6"/>
      <c r="B74">
        <v>51.4</v>
      </c>
      <c r="C74">
        <v>20726</v>
      </c>
      <c r="D74">
        <v>-58.2</v>
      </c>
      <c r="I74">
        <v>15</v>
      </c>
      <c r="J74">
        <v>10</v>
      </c>
      <c r="K74">
        <v>501.9</v>
      </c>
      <c r="L74">
        <v>501.9</v>
      </c>
      <c r="N74" s="25">
        <f t="shared" si="4"/>
        <v>174</v>
      </c>
    </row>
    <row r="75" spans="1:14" ht="21" x14ac:dyDescent="0.25">
      <c r="A75" s="6"/>
      <c r="B75">
        <v>50</v>
      </c>
      <c r="C75">
        <v>20900</v>
      </c>
      <c r="D75">
        <v>-57.7</v>
      </c>
      <c r="I75">
        <v>95</v>
      </c>
      <c r="J75">
        <v>9</v>
      </c>
      <c r="K75">
        <v>507.1</v>
      </c>
      <c r="L75">
        <v>507.1</v>
      </c>
      <c r="N75" s="25">
        <f t="shared" si="4"/>
        <v>436</v>
      </c>
    </row>
    <row r="76" spans="1:14" ht="21" x14ac:dyDescent="0.25">
      <c r="A76" s="6"/>
      <c r="B76">
        <v>46.7</v>
      </c>
      <c r="C76">
        <v>21336</v>
      </c>
      <c r="D76">
        <v>-55.9</v>
      </c>
      <c r="I76">
        <v>100</v>
      </c>
      <c r="J76">
        <v>10</v>
      </c>
      <c r="K76">
        <v>521.4</v>
      </c>
      <c r="L76">
        <v>521.4</v>
      </c>
      <c r="N76" s="25">
        <f t="shared" si="4"/>
        <v>610</v>
      </c>
    </row>
    <row r="77" spans="1:14" ht="21" x14ac:dyDescent="0.25">
      <c r="A77" s="6"/>
      <c r="B77">
        <v>42.4</v>
      </c>
      <c r="C77">
        <v>21946</v>
      </c>
      <c r="D77">
        <v>-53.3</v>
      </c>
      <c r="I77">
        <v>85</v>
      </c>
      <c r="J77">
        <v>18</v>
      </c>
      <c r="K77">
        <v>542.1</v>
      </c>
      <c r="L77">
        <v>542.1</v>
      </c>
      <c r="N77" s="25">
        <f t="shared" si="4"/>
        <v>347</v>
      </c>
    </row>
    <row r="78" spans="1:14" ht="21" x14ac:dyDescent="0.25">
      <c r="A78" s="6"/>
      <c r="B78">
        <v>40.200000000000003</v>
      </c>
      <c r="C78">
        <v>22293</v>
      </c>
      <c r="D78">
        <v>-51.9</v>
      </c>
      <c r="I78">
        <v>88</v>
      </c>
      <c r="J78">
        <v>20</v>
      </c>
      <c r="K78">
        <v>554.20000000000005</v>
      </c>
      <c r="L78">
        <v>554.20000000000005</v>
      </c>
      <c r="N78" s="25">
        <f t="shared" si="4"/>
        <v>262</v>
      </c>
    </row>
    <row r="79" spans="1:14" ht="21" x14ac:dyDescent="0.25">
      <c r="A79" s="6"/>
      <c r="B79">
        <v>38.6</v>
      </c>
      <c r="C79">
        <v>22555</v>
      </c>
      <c r="D79">
        <v>-52.7</v>
      </c>
      <c r="I79">
        <v>90</v>
      </c>
      <c r="J79">
        <v>21</v>
      </c>
      <c r="K79">
        <v>558.79999999999995</v>
      </c>
      <c r="L79">
        <v>558.79999999999995</v>
      </c>
      <c r="N79" s="25">
        <f t="shared" si="4"/>
        <v>305</v>
      </c>
    </row>
    <row r="80" spans="1:14" ht="21" x14ac:dyDescent="0.25">
      <c r="A80" s="6"/>
      <c r="B80">
        <v>36.799999999999997</v>
      </c>
      <c r="C80">
        <v>22860</v>
      </c>
      <c r="D80">
        <v>-53.6</v>
      </c>
      <c r="I80">
        <v>120</v>
      </c>
      <c r="J80">
        <v>17</v>
      </c>
      <c r="K80">
        <v>564.1</v>
      </c>
      <c r="L80">
        <v>564.1</v>
      </c>
      <c r="N80" s="25">
        <f t="shared" si="4"/>
        <v>251</v>
      </c>
    </row>
    <row r="81" spans="1:14" ht="21" x14ac:dyDescent="0.25">
      <c r="A81" s="6"/>
      <c r="B81">
        <v>35.4</v>
      </c>
      <c r="C81">
        <v>23111</v>
      </c>
      <c r="D81">
        <v>-54.3</v>
      </c>
      <c r="I81">
        <v>112</v>
      </c>
      <c r="J81">
        <v>16</v>
      </c>
      <c r="K81">
        <v>568.5</v>
      </c>
      <c r="L81">
        <v>568.5</v>
      </c>
      <c r="N81" s="25">
        <f t="shared" si="4"/>
        <v>359</v>
      </c>
    </row>
    <row r="82" spans="1:14" ht="21" x14ac:dyDescent="0.25">
      <c r="A82" s="6"/>
      <c r="B82">
        <v>33.5</v>
      </c>
      <c r="C82">
        <v>23470</v>
      </c>
      <c r="D82">
        <v>-52.5</v>
      </c>
      <c r="I82">
        <v>100</v>
      </c>
      <c r="J82">
        <v>14</v>
      </c>
      <c r="K82">
        <v>582.29999999999995</v>
      </c>
      <c r="L82">
        <v>582.29999999999995</v>
      </c>
      <c r="N82" s="25">
        <f t="shared" si="4"/>
        <v>291</v>
      </c>
    </row>
    <row r="83" spans="1:14" ht="21" x14ac:dyDescent="0.25">
      <c r="A83" s="6"/>
      <c r="B83">
        <v>32</v>
      </c>
      <c r="C83">
        <v>23761</v>
      </c>
      <c r="D83">
        <v>-51.1</v>
      </c>
      <c r="I83">
        <v>124</v>
      </c>
      <c r="J83">
        <v>10</v>
      </c>
      <c r="K83">
        <v>593.70000000000005</v>
      </c>
      <c r="L83">
        <v>593.70000000000005</v>
      </c>
      <c r="N83" s="25">
        <f t="shared" si="4"/>
        <v>13</v>
      </c>
    </row>
    <row r="84" spans="1:14" ht="21" x14ac:dyDescent="0.25">
      <c r="A84" s="6"/>
      <c r="B84">
        <v>31.9</v>
      </c>
      <c r="C84">
        <v>23774</v>
      </c>
      <c r="D84">
        <v>-51.1</v>
      </c>
      <c r="I84">
        <v>125</v>
      </c>
      <c r="J84">
        <v>10</v>
      </c>
      <c r="K84">
        <v>594</v>
      </c>
      <c r="L84">
        <v>594</v>
      </c>
      <c r="N84" s="25">
        <f t="shared" ref="N84:N89" si="7">C85-C84</f>
        <v>305</v>
      </c>
    </row>
    <row r="85" spans="1:14" ht="21" x14ac:dyDescent="0.25">
      <c r="A85" s="6"/>
      <c r="B85">
        <v>30.5</v>
      </c>
      <c r="C85">
        <v>24079</v>
      </c>
      <c r="D85">
        <v>-51.2</v>
      </c>
      <c r="I85">
        <v>110</v>
      </c>
      <c r="J85">
        <v>5</v>
      </c>
      <c r="K85">
        <v>601.6</v>
      </c>
      <c r="L85">
        <v>601.6</v>
      </c>
      <c r="N85" s="25">
        <f t="shared" si="7"/>
        <v>101</v>
      </c>
    </row>
    <row r="86" spans="1:14" ht="21" x14ac:dyDescent="0.25">
      <c r="A86" s="6"/>
      <c r="B86">
        <v>30</v>
      </c>
      <c r="C86">
        <v>24180</v>
      </c>
      <c r="D86">
        <v>-51.3</v>
      </c>
      <c r="I86">
        <v>105</v>
      </c>
      <c r="J86">
        <v>18</v>
      </c>
      <c r="K86">
        <v>604.20000000000005</v>
      </c>
      <c r="L86">
        <v>604.20000000000005</v>
      </c>
      <c r="N86" s="25">
        <f t="shared" si="7"/>
        <v>204</v>
      </c>
    </row>
    <row r="87" spans="1:14" ht="21" x14ac:dyDescent="0.25">
      <c r="A87" s="6"/>
      <c r="B87">
        <v>29.1</v>
      </c>
      <c r="C87">
        <v>24384</v>
      </c>
      <c r="D87">
        <v>-51.2</v>
      </c>
      <c r="I87">
        <v>95</v>
      </c>
      <c r="J87">
        <v>10</v>
      </c>
      <c r="K87">
        <v>609.9</v>
      </c>
      <c r="L87">
        <v>609.9</v>
      </c>
      <c r="N87" s="25">
        <f t="shared" si="7"/>
        <v>610</v>
      </c>
    </row>
    <row r="88" spans="1:14" ht="21" x14ac:dyDescent="0.25">
      <c r="A88" s="6"/>
      <c r="B88">
        <v>26.5</v>
      </c>
      <c r="C88">
        <v>24994</v>
      </c>
      <c r="D88">
        <v>-50.9</v>
      </c>
      <c r="I88">
        <v>120</v>
      </c>
      <c r="J88">
        <v>25</v>
      </c>
      <c r="K88">
        <v>627.20000000000005</v>
      </c>
      <c r="L88">
        <v>627.20000000000005</v>
      </c>
      <c r="N88" s="25">
        <f t="shared" si="7"/>
        <v>304</v>
      </c>
    </row>
    <row r="89" spans="1:14" ht="21" x14ac:dyDescent="0.25">
      <c r="A89" s="6"/>
      <c r="B89">
        <v>25.3</v>
      </c>
      <c r="C89">
        <v>25298</v>
      </c>
      <c r="D89">
        <v>-50.8</v>
      </c>
      <c r="I89">
        <v>130</v>
      </c>
      <c r="J89">
        <v>24</v>
      </c>
      <c r="K89">
        <v>636</v>
      </c>
      <c r="L89">
        <v>636</v>
      </c>
      <c r="N89" s="25">
        <f t="shared" si="7"/>
        <v>226</v>
      </c>
    </row>
    <row r="90" spans="1:14" ht="17" x14ac:dyDescent="0.25">
      <c r="A90" s="6"/>
      <c r="B90">
        <v>24.4</v>
      </c>
      <c r="C90">
        <v>25524</v>
      </c>
      <c r="D90">
        <v>-50.7</v>
      </c>
      <c r="I90">
        <v>97</v>
      </c>
      <c r="J90">
        <v>20</v>
      </c>
      <c r="K90">
        <v>642.70000000000005</v>
      </c>
      <c r="L90">
        <v>642.70000000000005</v>
      </c>
    </row>
    <row r="91" spans="1:14" ht="17" x14ac:dyDescent="0.25">
      <c r="A91" s="6"/>
      <c r="B91">
        <v>24.1</v>
      </c>
      <c r="C91">
        <v>25605</v>
      </c>
      <c r="D91">
        <v>-50.7</v>
      </c>
      <c r="I91">
        <v>85</v>
      </c>
      <c r="J91">
        <v>19</v>
      </c>
      <c r="K91">
        <v>644.9</v>
      </c>
      <c r="L91">
        <v>644.9</v>
      </c>
    </row>
    <row r="92" spans="1:14" ht="17" x14ac:dyDescent="0.25">
      <c r="A92" s="6"/>
      <c r="B92">
        <v>24.1</v>
      </c>
      <c r="C92">
        <v>25603</v>
      </c>
      <c r="D92">
        <v>-50.7</v>
      </c>
      <c r="I92">
        <v>85</v>
      </c>
      <c r="J92">
        <v>19</v>
      </c>
      <c r="K92">
        <v>644.9</v>
      </c>
      <c r="L92">
        <v>644.9</v>
      </c>
    </row>
    <row r="93" spans="1:14" ht="17" x14ac:dyDescent="0.25">
      <c r="A93" s="6"/>
      <c r="B93">
        <v>22</v>
      </c>
      <c r="C93">
        <v>26213</v>
      </c>
      <c r="D93">
        <v>-43.9</v>
      </c>
      <c r="I93">
        <v>95</v>
      </c>
      <c r="J93">
        <v>21</v>
      </c>
      <c r="K93">
        <v>682.4</v>
      </c>
      <c r="L93">
        <v>682.4</v>
      </c>
    </row>
    <row r="94" spans="1:14" ht="17" x14ac:dyDescent="0.25">
      <c r="A94" s="6"/>
      <c r="B94">
        <v>22</v>
      </c>
      <c r="C94">
        <v>26208</v>
      </c>
      <c r="D94">
        <v>-43.9</v>
      </c>
      <c r="I94">
        <v>95</v>
      </c>
      <c r="J94">
        <v>21</v>
      </c>
      <c r="K94">
        <v>682.2</v>
      </c>
      <c r="L94">
        <v>682.2</v>
      </c>
    </row>
    <row r="95" spans="1:14" ht="17" x14ac:dyDescent="0.25">
      <c r="A95" s="6"/>
      <c r="B95">
        <v>20.2</v>
      </c>
      <c r="C95">
        <v>26783</v>
      </c>
      <c r="D95">
        <v>-42.5</v>
      </c>
      <c r="I95">
        <v>76</v>
      </c>
      <c r="J95">
        <v>22</v>
      </c>
      <c r="K95">
        <v>703.3</v>
      </c>
      <c r="L95">
        <v>703.3</v>
      </c>
    </row>
    <row r="96" spans="1:14" ht="17" x14ac:dyDescent="0.25">
      <c r="A96" s="6"/>
      <c r="B96">
        <v>20.100000000000001</v>
      </c>
      <c r="C96">
        <v>26822</v>
      </c>
      <c r="D96">
        <v>-42.5</v>
      </c>
      <c r="I96">
        <v>75</v>
      </c>
      <c r="J96">
        <v>22</v>
      </c>
      <c r="K96">
        <v>704.5</v>
      </c>
      <c r="L96">
        <v>704.5</v>
      </c>
    </row>
    <row r="97" spans="1:12" ht="17" x14ac:dyDescent="0.25">
      <c r="A97" s="6"/>
      <c r="B97">
        <v>20</v>
      </c>
      <c r="C97">
        <v>26850</v>
      </c>
      <c r="D97">
        <v>-42.5</v>
      </c>
      <c r="I97">
        <v>75</v>
      </c>
      <c r="J97">
        <v>26</v>
      </c>
      <c r="K97">
        <v>705.3</v>
      </c>
      <c r="L97">
        <v>705.3</v>
      </c>
    </row>
    <row r="98" spans="1:12" ht="17" x14ac:dyDescent="0.25">
      <c r="A98" s="6"/>
      <c r="B98">
        <v>16.7</v>
      </c>
      <c r="C98">
        <v>28073</v>
      </c>
      <c r="D98">
        <v>-40.5</v>
      </c>
      <c r="E98">
        <v>749</v>
      </c>
      <c r="F98">
        <v>749</v>
      </c>
    </row>
    <row r="100" spans="1:12" ht="19" x14ac:dyDescent="0.25">
      <c r="A100" s="15" t="s">
        <v>53</v>
      </c>
      <c r="B100" t="s">
        <v>54</v>
      </c>
      <c r="C100" t="s">
        <v>55</v>
      </c>
      <c r="D100" t="s">
        <v>56</v>
      </c>
      <c r="E100" t="s">
        <v>57</v>
      </c>
    </row>
    <row r="102" spans="1:12" ht="17" x14ac:dyDescent="0.25">
      <c r="A102" s="6"/>
      <c r="B102" t="s">
        <v>53</v>
      </c>
      <c r="C102" t="s">
        <v>58</v>
      </c>
      <c r="D102" t="s">
        <v>49</v>
      </c>
    </row>
    <row r="103" spans="1:12" ht="17" x14ac:dyDescent="0.25">
      <c r="A103" s="6"/>
      <c r="B103" t="s">
        <v>53</v>
      </c>
      <c r="C103" t="s">
        <v>59</v>
      </c>
      <c r="D103">
        <v>74646</v>
      </c>
    </row>
    <row r="104" spans="1:12" ht="17" x14ac:dyDescent="0.25">
      <c r="A104" s="6"/>
      <c r="B104" t="s">
        <v>60</v>
      </c>
      <c r="C104" t="s">
        <v>61</v>
      </c>
      <c r="D104" t="s">
        <v>62</v>
      </c>
    </row>
    <row r="105" spans="1:12" ht="17" x14ac:dyDescent="0.25">
      <c r="A105" s="6"/>
      <c r="B105" t="s">
        <v>53</v>
      </c>
      <c r="C105" t="s">
        <v>63</v>
      </c>
      <c r="D105">
        <v>36.619999999999997</v>
      </c>
    </row>
    <row r="106" spans="1:12" ht="17" x14ac:dyDescent="0.25">
      <c r="A106" s="6"/>
      <c r="B106" t="s">
        <v>53</v>
      </c>
      <c r="C106" t="s">
        <v>64</v>
      </c>
      <c r="D106">
        <v>-97.48</v>
      </c>
    </row>
    <row r="107" spans="1:12" ht="17" x14ac:dyDescent="0.25">
      <c r="A107" s="6"/>
      <c r="B107" t="s">
        <v>53</v>
      </c>
      <c r="C107" t="s">
        <v>65</v>
      </c>
      <c r="D107">
        <v>317</v>
      </c>
    </row>
    <row r="108" spans="1:12" ht="17" x14ac:dyDescent="0.25">
      <c r="A108" s="6"/>
      <c r="B108" t="s">
        <v>66</v>
      </c>
      <c r="C108" t="s">
        <v>67</v>
      </c>
      <c r="D108">
        <v>-5.98</v>
      </c>
    </row>
    <row r="109" spans="1:12" ht="17" x14ac:dyDescent="0.25">
      <c r="A109" s="6"/>
      <c r="B109" t="s">
        <v>68</v>
      </c>
      <c r="C109" t="s">
        <v>67</v>
      </c>
      <c r="D109">
        <v>-10.99</v>
      </c>
    </row>
    <row r="110" spans="1:12" ht="17" x14ac:dyDescent="0.25">
      <c r="A110" s="6"/>
      <c r="B110" t="s">
        <v>69</v>
      </c>
      <c r="C110" t="s">
        <v>70</v>
      </c>
      <c r="D110" t="s">
        <v>71</v>
      </c>
      <c r="E110" t="s">
        <v>72</v>
      </c>
      <c r="F110" t="s">
        <v>73</v>
      </c>
      <c r="G110">
        <v>-12.28</v>
      </c>
    </row>
    <row r="111" spans="1:12" ht="17" x14ac:dyDescent="0.25">
      <c r="A111" s="6"/>
      <c r="B111" t="s">
        <v>74</v>
      </c>
      <c r="C111" t="s">
        <v>67</v>
      </c>
      <c r="D111">
        <v>566.64</v>
      </c>
    </row>
    <row r="112" spans="1:12" ht="17" x14ac:dyDescent="0.25">
      <c r="A112" s="6"/>
      <c r="B112" t="s">
        <v>39</v>
      </c>
      <c r="C112" t="s">
        <v>67</v>
      </c>
      <c r="D112">
        <v>37.5</v>
      </c>
    </row>
    <row r="113" spans="1:9" ht="17" x14ac:dyDescent="0.25">
      <c r="A113" s="6"/>
      <c r="B113" t="s">
        <v>75</v>
      </c>
      <c r="C113" t="s">
        <v>76</v>
      </c>
      <c r="D113" t="s">
        <v>67</v>
      </c>
      <c r="E113">
        <v>23.3</v>
      </c>
    </row>
    <row r="114" spans="1:9" ht="17" x14ac:dyDescent="0.25">
      <c r="A114" s="6"/>
      <c r="B114" t="s">
        <v>77</v>
      </c>
      <c r="C114" t="s">
        <v>76</v>
      </c>
      <c r="D114" t="s">
        <v>67</v>
      </c>
      <c r="E114">
        <v>33.299999999999997</v>
      </c>
    </row>
    <row r="115" spans="1:9" ht="17" x14ac:dyDescent="0.25">
      <c r="A115" s="6"/>
      <c r="B115" t="s">
        <v>78</v>
      </c>
      <c r="C115" t="s">
        <v>76</v>
      </c>
      <c r="D115" t="s">
        <v>67</v>
      </c>
      <c r="E115">
        <v>56.6</v>
      </c>
    </row>
    <row r="116" spans="1:9" ht="17" x14ac:dyDescent="0.25">
      <c r="A116" s="6"/>
      <c r="B116" t="s">
        <v>79</v>
      </c>
      <c r="C116" t="s">
        <v>80</v>
      </c>
      <c r="D116" t="s">
        <v>81</v>
      </c>
      <c r="E116" t="s">
        <v>82</v>
      </c>
      <c r="F116">
        <v>4972.1099999999997</v>
      </c>
    </row>
    <row r="117" spans="1:9" ht="17" x14ac:dyDescent="0.25">
      <c r="A117" s="6"/>
      <c r="B117" t="s">
        <v>83</v>
      </c>
      <c r="C117" t="s">
        <v>71</v>
      </c>
      <c r="D117" t="s">
        <v>72</v>
      </c>
      <c r="E117" t="s">
        <v>73</v>
      </c>
      <c r="F117">
        <v>5324</v>
      </c>
    </row>
    <row r="118" spans="1:9" ht="17" x14ac:dyDescent="0.25">
      <c r="A118" s="6"/>
      <c r="B118" t="s">
        <v>79</v>
      </c>
      <c r="C118" t="s">
        <v>84</v>
      </c>
      <c r="D118">
        <v>-106.4</v>
      </c>
    </row>
    <row r="119" spans="1:9" ht="17" x14ac:dyDescent="0.25">
      <c r="A119" s="6"/>
      <c r="B119" t="s">
        <v>85</v>
      </c>
      <c r="C119" t="s">
        <v>71</v>
      </c>
      <c r="D119" t="s">
        <v>72</v>
      </c>
      <c r="E119" t="s">
        <v>73</v>
      </c>
      <c r="F119">
        <v>-51.96</v>
      </c>
    </row>
    <row r="120" spans="1:9" ht="17" x14ac:dyDescent="0.25">
      <c r="A120" s="6"/>
      <c r="B120" t="s">
        <v>86</v>
      </c>
      <c r="C120" t="s">
        <v>87</v>
      </c>
      <c r="D120">
        <v>127.97</v>
      </c>
    </row>
    <row r="121" spans="1:9" ht="17" x14ac:dyDescent="0.25">
      <c r="A121" s="6"/>
      <c r="B121" t="s">
        <v>86</v>
      </c>
      <c r="C121" t="s">
        <v>88</v>
      </c>
      <c r="D121" t="s">
        <v>71</v>
      </c>
      <c r="E121" t="s">
        <v>72</v>
      </c>
      <c r="F121" t="s">
        <v>73</v>
      </c>
      <c r="G121">
        <v>127.98</v>
      </c>
    </row>
    <row r="122" spans="1:9" ht="17" x14ac:dyDescent="0.25">
      <c r="A122" s="6"/>
      <c r="B122" t="s">
        <v>88</v>
      </c>
      <c r="C122" t="s">
        <v>89</v>
      </c>
      <c r="D122" t="s">
        <v>90</v>
      </c>
      <c r="E122" t="s">
        <v>91</v>
      </c>
      <c r="F122">
        <v>755.29</v>
      </c>
    </row>
    <row r="123" spans="1:9" ht="17" x14ac:dyDescent="0.25">
      <c r="A123" s="6"/>
      <c r="B123" t="s">
        <v>92</v>
      </c>
      <c r="C123" t="s">
        <v>71</v>
      </c>
      <c r="D123" t="s">
        <v>72</v>
      </c>
      <c r="E123" t="s">
        <v>73</v>
      </c>
      <c r="F123">
        <v>780.37</v>
      </c>
    </row>
    <row r="124" spans="1:9" ht="17" x14ac:dyDescent="0.25">
      <c r="A124" s="6"/>
      <c r="B124" t="s">
        <v>93</v>
      </c>
      <c r="C124" t="s">
        <v>94</v>
      </c>
      <c r="D124" t="s">
        <v>95</v>
      </c>
      <c r="E124">
        <v>69.209999999999994</v>
      </c>
    </row>
    <row r="125" spans="1:9" ht="17" x14ac:dyDescent="0.25">
      <c r="A125" s="6"/>
      <c r="B125" t="s">
        <v>93</v>
      </c>
      <c r="C125" t="s">
        <v>94</v>
      </c>
      <c r="D125" t="s">
        <v>96</v>
      </c>
      <c r="E125" t="s">
        <v>71</v>
      </c>
      <c r="F125" t="s">
        <v>97</v>
      </c>
      <c r="G125">
        <v>74.11</v>
      </c>
    </row>
    <row r="126" spans="1:9" ht="17" x14ac:dyDescent="0.25">
      <c r="A126" s="6"/>
      <c r="B126" t="s">
        <v>98</v>
      </c>
      <c r="C126" t="s">
        <v>99</v>
      </c>
      <c r="D126" t="s">
        <v>89</v>
      </c>
      <c r="E126" t="s">
        <v>100</v>
      </c>
      <c r="F126" t="s">
        <v>68</v>
      </c>
      <c r="G126" t="s">
        <v>101</v>
      </c>
      <c r="H126" t="s">
        <v>87</v>
      </c>
      <c r="I126">
        <v>294.49</v>
      </c>
    </row>
    <row r="127" spans="1:9" ht="17" x14ac:dyDescent="0.25">
      <c r="A127" s="6" t="s">
        <v>102</v>
      </c>
      <c r="B127" t="s">
        <v>103</v>
      </c>
      <c r="C127" t="s">
        <v>89</v>
      </c>
      <c r="D127" t="s">
        <v>100</v>
      </c>
      <c r="E127" t="s">
        <v>68</v>
      </c>
      <c r="F127" t="s">
        <v>101</v>
      </c>
      <c r="G127" t="s">
        <v>87</v>
      </c>
      <c r="H127">
        <v>840.82</v>
      </c>
    </row>
    <row r="128" spans="1:9" ht="17" x14ac:dyDescent="0.25">
      <c r="A128" s="6"/>
      <c r="B128" t="s">
        <v>104</v>
      </c>
      <c r="C128" t="s">
        <v>105</v>
      </c>
      <c r="D128" t="s">
        <v>106</v>
      </c>
      <c r="E128" t="s">
        <v>107</v>
      </c>
      <c r="F128" t="s">
        <v>73</v>
      </c>
      <c r="G128">
        <v>309.45999999999998</v>
      </c>
    </row>
    <row r="129" spans="1:8" ht="17" x14ac:dyDescent="0.25">
      <c r="A129" s="6"/>
      <c r="B129" t="s">
        <v>104</v>
      </c>
      <c r="C129" t="s">
        <v>105</v>
      </c>
      <c r="D129" t="s">
        <v>106</v>
      </c>
      <c r="E129" t="s">
        <v>108</v>
      </c>
      <c r="F129" t="s">
        <v>109</v>
      </c>
      <c r="G129">
        <v>19.46</v>
      </c>
    </row>
    <row r="130" spans="1:8" ht="17" x14ac:dyDescent="0.25">
      <c r="A130" s="6"/>
      <c r="B130">
        <v>1000</v>
      </c>
      <c r="C130" t="s">
        <v>32</v>
      </c>
      <c r="D130" t="s">
        <v>110</v>
      </c>
      <c r="E130">
        <v>500</v>
      </c>
      <c r="F130" t="s">
        <v>32</v>
      </c>
      <c r="G130" t="s">
        <v>111</v>
      </c>
      <c r="H130">
        <v>5850</v>
      </c>
    </row>
    <row r="131" spans="1:8" ht="17" x14ac:dyDescent="0.25">
      <c r="A131" s="6" t="s">
        <v>112</v>
      </c>
      <c r="B131" t="s">
        <v>113</v>
      </c>
      <c r="C131" t="s">
        <v>114</v>
      </c>
      <c r="D131" t="s">
        <v>115</v>
      </c>
      <c r="E131" t="s">
        <v>116</v>
      </c>
      <c r="F131" t="s">
        <v>117</v>
      </c>
      <c r="G131">
        <v>42.64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"/>
  <sheetViews>
    <sheetView tabSelected="1" workbookViewId="0">
      <pane ySplit="11320" topLeftCell="A29"/>
      <selection activeCell="L2" sqref="L2"/>
      <selection pane="bottomLeft" activeCell="C37" sqref="C37"/>
    </sheetView>
  </sheetViews>
  <sheetFormatPr baseColWidth="10" defaultRowHeight="16" x14ac:dyDescent="0.2"/>
  <cols>
    <col min="1" max="1" width="38.5" customWidth="1"/>
    <col min="2" max="2" width="46" customWidth="1"/>
    <col min="3" max="3" width="17" customWidth="1"/>
    <col min="4" max="7" width="12.6640625" customWidth="1"/>
    <col min="8" max="8" width="23.33203125" style="3" customWidth="1"/>
    <col min="9" max="9" width="18.5" customWidth="1"/>
    <col min="10" max="10" width="16.6640625" customWidth="1"/>
    <col min="11" max="11" width="19" customWidth="1"/>
    <col min="12" max="13" width="19.83203125" customWidth="1"/>
    <col min="14" max="14" width="13" customWidth="1"/>
  </cols>
  <sheetData>
    <row r="1" spans="1:14" ht="42" x14ac:dyDescent="0.25">
      <c r="H1" s="45" t="s">
        <v>146</v>
      </c>
      <c r="I1" s="25">
        <f>SUM(I3:I37)</f>
        <v>1.3034916493324999E-2</v>
      </c>
    </row>
    <row r="2" spans="1:14" ht="106" x14ac:dyDescent="0.3">
      <c r="A2" s="46" t="s">
        <v>147</v>
      </c>
      <c r="B2" s="8" t="s">
        <v>47</v>
      </c>
      <c r="C2" s="17" t="s">
        <v>4</v>
      </c>
      <c r="D2" t="s">
        <v>16</v>
      </c>
      <c r="E2" t="s">
        <v>6</v>
      </c>
      <c r="F2" t="s">
        <v>8</v>
      </c>
      <c r="G2" t="s">
        <v>7</v>
      </c>
      <c r="H2" s="20" t="s">
        <v>5</v>
      </c>
      <c r="I2" s="2" t="s">
        <v>9</v>
      </c>
      <c r="J2" s="13" t="s">
        <v>14</v>
      </c>
      <c r="K2" s="13" t="s">
        <v>45</v>
      </c>
      <c r="L2" s="48" t="s">
        <v>40</v>
      </c>
      <c r="M2" s="13" t="s">
        <v>46</v>
      </c>
      <c r="N2" s="4" t="s">
        <v>15</v>
      </c>
    </row>
    <row r="3" spans="1:14" ht="48" x14ac:dyDescent="0.3">
      <c r="A3" s="47">
        <f>B14</f>
        <v>367.40988564960753</v>
      </c>
      <c r="B3" s="9" t="s">
        <v>42</v>
      </c>
      <c r="C3" s="17">
        <v>760.6</v>
      </c>
      <c r="D3">
        <f>LN(C3)</f>
        <v>6.6341075954941591</v>
      </c>
      <c r="E3">
        <f>J3*(($A$11/C3)^0.286)</f>
        <v>315.06779179626182</v>
      </c>
      <c r="F3">
        <f>6.11*EXP(5420*((1/273)-(1/J3)))</f>
        <v>21.334784101915247</v>
      </c>
      <c r="G3">
        <f>$A$5*F3/C3</f>
        <v>1.7447062465673523E-2</v>
      </c>
      <c r="H3" s="3">
        <f>E3+3000*G3</f>
        <v>367.40897919328239</v>
      </c>
      <c r="I3" s="3">
        <f>ABS($A$3-H3)</f>
        <v>9.0645632513997043E-4</v>
      </c>
      <c r="J3" s="14">
        <v>291.34979508074565</v>
      </c>
      <c r="K3" s="14">
        <f>J3*(1+0.61*G3)</f>
        <v>294.45054590596794</v>
      </c>
      <c r="L3" s="49">
        <f>J3-273.15</f>
        <v>18.199795080745673</v>
      </c>
      <c r="M3" s="14">
        <f>K3-273.15</f>
        <v>21.300545905967965</v>
      </c>
      <c r="N3">
        <f>$E$3*((C3/1000)^0.286)-273.15</f>
        <v>18.199795080745673</v>
      </c>
    </row>
    <row r="4" spans="1:14" ht="24" x14ac:dyDescent="0.3">
      <c r="A4" t="s">
        <v>1</v>
      </c>
      <c r="B4" s="12" t="s">
        <v>125</v>
      </c>
      <c r="C4" s="10">
        <v>734.1</v>
      </c>
      <c r="D4">
        <f t="shared" ref="D4:D37" si="0">LN(C4)</f>
        <v>6.5986452591167355</v>
      </c>
      <c r="E4">
        <f t="shared" ref="E4:E37" si="1">J4*(($A$11/C4)^0.286)</f>
        <v>317.02575943454974</v>
      </c>
      <c r="F4">
        <f t="shared" ref="F4:F37" si="2">6.11*EXP(5420*((1/273)-(1/J4)))</f>
        <v>19.821494271622839</v>
      </c>
      <c r="G4">
        <f t="shared" ref="G4:G37" si="3">$A$5*F4/C4</f>
        <v>1.6794672983175867E-2</v>
      </c>
      <c r="H4" s="3">
        <f t="shared" ref="H4:H37" si="4">E4+3000*G4</f>
        <v>367.40977838407736</v>
      </c>
      <c r="I4" s="3">
        <f t="shared" ref="I4:I37" si="5">ABS($A$3-H4)</f>
        <v>1.0726553017548213E-4</v>
      </c>
      <c r="J4" s="14">
        <v>290.20209655461997</v>
      </c>
      <c r="K4" s="14">
        <f t="shared" ref="K4:K37" si="6">J4*(1+0.61*G4)</f>
        <v>293.17514463412675</v>
      </c>
      <c r="L4" s="49">
        <f t="shared" ref="L4:L37" si="7">J4-273.15</f>
        <v>17.052096554619993</v>
      </c>
      <c r="M4" s="14">
        <f t="shared" ref="M4:M37" si="8">K4-273.15</f>
        <v>20.025144634126775</v>
      </c>
      <c r="N4">
        <f t="shared" ref="N4:N37" si="9">$E$3*((C4/1000)^0.286)-273.15</f>
        <v>15.259793258412401</v>
      </c>
    </row>
    <row r="5" spans="1:14" ht="24" x14ac:dyDescent="0.3">
      <c r="A5">
        <v>0.622</v>
      </c>
      <c r="B5" s="12">
        <v>18.2</v>
      </c>
      <c r="C5" s="10">
        <v>724</v>
      </c>
      <c r="D5">
        <f t="shared" si="0"/>
        <v>6.584791392385716</v>
      </c>
      <c r="E5">
        <f t="shared" si="1"/>
        <v>317.78876492316613</v>
      </c>
      <c r="F5">
        <f t="shared" si="2"/>
        <v>19.252477520522618</v>
      </c>
      <c r="G5">
        <f t="shared" si="3"/>
        <v>1.6540111902990425E-2</v>
      </c>
      <c r="H5" s="3">
        <f t="shared" si="4"/>
        <v>367.40910063213738</v>
      </c>
      <c r="I5" s="3">
        <f t="shared" si="5"/>
        <v>7.8501747015025103E-4</v>
      </c>
      <c r="J5" s="14">
        <v>289.75021645103317</v>
      </c>
      <c r="K5" s="14">
        <f t="shared" si="6"/>
        <v>292.67364206348282</v>
      </c>
      <c r="L5" s="49">
        <f t="shared" si="7"/>
        <v>16.600216451033191</v>
      </c>
      <c r="M5" s="14">
        <f t="shared" si="8"/>
        <v>19.523642063482839</v>
      </c>
      <c r="N5">
        <f t="shared" si="9"/>
        <v>14.119315174776318</v>
      </c>
    </row>
    <row r="6" spans="1:14" ht="21" x14ac:dyDescent="0.25">
      <c r="A6" t="s">
        <v>2</v>
      </c>
      <c r="B6" s="10"/>
      <c r="C6" s="10">
        <v>700</v>
      </c>
      <c r="D6">
        <f t="shared" si="0"/>
        <v>6.5510803350434044</v>
      </c>
      <c r="E6">
        <f t="shared" si="1"/>
        <v>319.64127542034197</v>
      </c>
      <c r="F6">
        <f t="shared" si="2"/>
        <v>17.919325248495692</v>
      </c>
      <c r="G6">
        <f t="shared" si="3"/>
        <v>1.5922600435091888E-2</v>
      </c>
      <c r="H6" s="3">
        <f t="shared" si="4"/>
        <v>367.40907672561764</v>
      </c>
      <c r="I6" s="3">
        <f t="shared" si="5"/>
        <v>8.0892398989362846E-4</v>
      </c>
      <c r="J6" s="14">
        <v>288.64291003554769</v>
      </c>
      <c r="K6" s="14">
        <f t="shared" si="6"/>
        <v>291.44643692774781</v>
      </c>
      <c r="L6" s="49">
        <f t="shared" si="7"/>
        <v>15.492910035547709</v>
      </c>
      <c r="M6" s="14">
        <f t="shared" si="8"/>
        <v>18.296436927747834</v>
      </c>
      <c r="N6">
        <f t="shared" si="9"/>
        <v>11.3629564789602</v>
      </c>
    </row>
    <row r="7" spans="1:14" ht="21" x14ac:dyDescent="0.25">
      <c r="A7">
        <v>1004</v>
      </c>
      <c r="B7" s="21" t="s">
        <v>124</v>
      </c>
      <c r="C7" s="10">
        <v>679</v>
      </c>
      <c r="D7">
        <f t="shared" si="0"/>
        <v>6.5206211275586963</v>
      </c>
      <c r="E7">
        <f t="shared" si="1"/>
        <v>321.30889875697653</v>
      </c>
      <c r="F7">
        <f t="shared" si="2"/>
        <v>16.775134698316808</v>
      </c>
      <c r="G7">
        <f t="shared" si="3"/>
        <v>1.5366912786970626E-2</v>
      </c>
      <c r="H7" s="3">
        <f t="shared" si="4"/>
        <v>367.40963711788839</v>
      </c>
      <c r="I7" s="3">
        <f t="shared" si="5"/>
        <v>2.4853171913719052E-4</v>
      </c>
      <c r="J7" s="14">
        <v>287.63220399652857</v>
      </c>
      <c r="K7" s="14">
        <f t="shared" si="6"/>
        <v>290.32841558258724</v>
      </c>
      <c r="L7" s="49">
        <f t="shared" si="7"/>
        <v>14.482203996528597</v>
      </c>
      <c r="M7" s="14">
        <f t="shared" si="8"/>
        <v>17.178415582587263</v>
      </c>
      <c r="N7">
        <f t="shared" si="9"/>
        <v>8.895233459972701</v>
      </c>
    </row>
    <row r="8" spans="1:14" ht="21" x14ac:dyDescent="0.25">
      <c r="A8" t="s">
        <v>3</v>
      </c>
      <c r="B8" s="21">
        <f>6.11*EXP(5420*((1/273)-(1/(B5+273.15))))</f>
        <v>21.335063255627521</v>
      </c>
      <c r="C8" s="10">
        <v>658.3</v>
      </c>
      <c r="D8">
        <f t="shared" si="0"/>
        <v>6.4896607544738307</v>
      </c>
      <c r="E8">
        <f t="shared" si="1"/>
        <v>322.99661177967636</v>
      </c>
      <c r="F8">
        <f t="shared" si="2"/>
        <v>15.668308645412951</v>
      </c>
      <c r="G8">
        <f t="shared" si="3"/>
        <v>1.4804326260742604E-2</v>
      </c>
      <c r="H8" s="3">
        <f t="shared" si="4"/>
        <v>367.40959056190417</v>
      </c>
      <c r="I8" s="3">
        <f t="shared" si="5"/>
        <v>2.9508770336406087E-4</v>
      </c>
      <c r="J8" s="14">
        <v>286.59406283239286</v>
      </c>
      <c r="K8" s="14">
        <f t="shared" si="6"/>
        <v>289.18219035883595</v>
      </c>
      <c r="L8" s="49">
        <f t="shared" si="7"/>
        <v>13.444062832392888</v>
      </c>
      <c r="M8" s="14">
        <f t="shared" si="8"/>
        <v>16.032190358835976</v>
      </c>
      <c r="N8">
        <f t="shared" si="9"/>
        <v>6.4088412553211356</v>
      </c>
    </row>
    <row r="9" spans="1:14" ht="21" x14ac:dyDescent="0.25">
      <c r="A9" s="1">
        <v>2500000</v>
      </c>
      <c r="B9" s="22" t="s">
        <v>123</v>
      </c>
      <c r="C9" s="10">
        <v>642</v>
      </c>
      <c r="D9">
        <f t="shared" si="0"/>
        <v>6.4645883036899612</v>
      </c>
      <c r="E9">
        <f t="shared" si="1"/>
        <v>324.35735379211826</v>
      </c>
      <c r="F9">
        <f t="shared" si="2"/>
        <v>14.812200867386732</v>
      </c>
      <c r="G9">
        <f t="shared" si="3"/>
        <v>1.435076158802889E-2</v>
      </c>
      <c r="H9" s="3">
        <f t="shared" si="4"/>
        <v>367.40963855620492</v>
      </c>
      <c r="I9" s="3">
        <f t="shared" si="5"/>
        <v>2.4709340260642421E-4</v>
      </c>
      <c r="J9" s="14">
        <v>285.7450834823843</v>
      </c>
      <c r="K9" s="14">
        <f t="shared" si="6"/>
        <v>288.24648581886862</v>
      </c>
      <c r="L9" s="49">
        <f t="shared" si="7"/>
        <v>12.595083482384325</v>
      </c>
      <c r="M9" s="14">
        <f t="shared" si="8"/>
        <v>15.096485818868643</v>
      </c>
      <c r="N9">
        <f t="shared" si="9"/>
        <v>4.4113730254232451</v>
      </c>
    </row>
    <row r="10" spans="1:14" ht="21" x14ac:dyDescent="0.25">
      <c r="A10" t="s">
        <v>0</v>
      </c>
      <c r="B10" s="21">
        <f>A5*B8/C3</f>
        <v>1.7447290750723529E-2</v>
      </c>
      <c r="C10" s="10">
        <v>627</v>
      </c>
      <c r="D10">
        <f t="shared" si="0"/>
        <v>6.4409465406329209</v>
      </c>
      <c r="E10">
        <f t="shared" si="1"/>
        <v>325.63493507067511</v>
      </c>
      <c r="F10">
        <f t="shared" si="2"/>
        <v>14.036862162864264</v>
      </c>
      <c r="G10">
        <f t="shared" si="3"/>
        <v>1.3924925463000911E-2</v>
      </c>
      <c r="H10" s="3">
        <f t="shared" si="4"/>
        <v>367.40971145967785</v>
      </c>
      <c r="I10" s="3">
        <f t="shared" si="5"/>
        <v>1.7418992968032398E-4</v>
      </c>
      <c r="J10" s="14">
        <v>284.93743323183367</v>
      </c>
      <c r="K10" s="14">
        <f t="shared" si="6"/>
        <v>287.35775006865066</v>
      </c>
      <c r="L10" s="49">
        <f t="shared" si="7"/>
        <v>11.787433231833688</v>
      </c>
      <c r="M10" s="14">
        <f t="shared" si="8"/>
        <v>14.207750068650682</v>
      </c>
      <c r="N10">
        <f t="shared" si="9"/>
        <v>2.5409600899060365</v>
      </c>
    </row>
    <row r="11" spans="1:14" ht="21" x14ac:dyDescent="0.25">
      <c r="A11">
        <v>1000</v>
      </c>
      <c r="B11" s="21" t="s">
        <v>122</v>
      </c>
      <c r="C11" s="10">
        <v>611.29999999999995</v>
      </c>
      <c r="D11">
        <f t="shared" si="0"/>
        <v>6.4155878370346793</v>
      </c>
      <c r="E11">
        <f t="shared" si="1"/>
        <v>326.99863516891827</v>
      </c>
      <c r="F11">
        <f t="shared" si="2"/>
        <v>13.238554985707065</v>
      </c>
      <c r="G11">
        <f t="shared" si="3"/>
        <v>1.3470278424848348E-2</v>
      </c>
      <c r="H11" s="3">
        <f t="shared" si="4"/>
        <v>367.40947044346331</v>
      </c>
      <c r="I11" s="3">
        <f t="shared" si="5"/>
        <v>4.1520614422552171E-4</v>
      </c>
      <c r="J11" s="14">
        <v>284.06301822262691</v>
      </c>
      <c r="K11" s="14">
        <f t="shared" si="6"/>
        <v>286.39712706948046</v>
      </c>
      <c r="L11" s="49">
        <f t="shared" si="7"/>
        <v>10.913018222626931</v>
      </c>
      <c r="M11" s="14">
        <f t="shared" si="8"/>
        <v>13.247127069480484</v>
      </c>
      <c r="N11">
        <f t="shared" si="9"/>
        <v>0.54871998441717551</v>
      </c>
    </row>
    <row r="12" spans="1:14" ht="21" x14ac:dyDescent="0.25">
      <c r="B12" s="21">
        <f>(B5+273.15)*(($A$11/C3)^0.286)</f>
        <v>315.06801339743691</v>
      </c>
      <c r="C12" s="10">
        <v>593</v>
      </c>
      <c r="D12">
        <f t="shared" si="0"/>
        <v>6.3851943989977258</v>
      </c>
      <c r="E12">
        <f t="shared" si="1"/>
        <v>328.623240355093</v>
      </c>
      <c r="F12">
        <f t="shared" si="2"/>
        <v>12.325925932399308</v>
      </c>
      <c r="G12">
        <f t="shared" si="3"/>
        <v>1.2928711517626257E-2</v>
      </c>
      <c r="H12" s="3">
        <f t="shared" si="4"/>
        <v>367.40937490797177</v>
      </c>
      <c r="I12" s="3">
        <f t="shared" si="5"/>
        <v>5.1074163576458886E-4</v>
      </c>
      <c r="J12" s="14">
        <v>283.00357124168193</v>
      </c>
      <c r="K12" s="14">
        <f t="shared" si="6"/>
        <v>285.23548287561738</v>
      </c>
      <c r="L12" s="49">
        <f t="shared" si="7"/>
        <v>9.8535712416819479</v>
      </c>
      <c r="M12" s="14">
        <f t="shared" si="8"/>
        <v>12.085482875617402</v>
      </c>
      <c r="N12">
        <f t="shared" si="9"/>
        <v>-1.8201020742615697</v>
      </c>
    </row>
    <row r="13" spans="1:14" ht="24" x14ac:dyDescent="0.3">
      <c r="B13" s="23" t="s">
        <v>121</v>
      </c>
      <c r="C13" s="10">
        <v>588.79999999999995</v>
      </c>
      <c r="D13">
        <f t="shared" si="0"/>
        <v>6.3780865674146661</v>
      </c>
      <c r="E13">
        <f t="shared" si="1"/>
        <v>329.00140011257156</v>
      </c>
      <c r="F13">
        <f t="shared" si="2"/>
        <v>12.119200180873641</v>
      </c>
      <c r="G13">
        <f t="shared" si="3"/>
        <v>1.2802551821507142E-2</v>
      </c>
      <c r="H13" s="3">
        <f t="shared" si="4"/>
        <v>367.409055577093</v>
      </c>
      <c r="I13" s="3">
        <f t="shared" si="5"/>
        <v>8.3007251453182107E-4</v>
      </c>
      <c r="J13" s="14">
        <v>282.75385671173211</v>
      </c>
      <c r="K13" s="14">
        <f t="shared" si="6"/>
        <v>284.96203896273471</v>
      </c>
      <c r="L13" s="49">
        <f t="shared" si="7"/>
        <v>9.603856711732135</v>
      </c>
      <c r="M13" s="14">
        <f t="shared" si="8"/>
        <v>11.812038962734732</v>
      </c>
      <c r="N13">
        <f t="shared" si="9"/>
        <v>-2.3711120513162882</v>
      </c>
    </row>
    <row r="14" spans="1:14" ht="24" x14ac:dyDescent="0.3">
      <c r="B14" s="41">
        <f>B12+3000*B10</f>
        <v>367.40988564960753</v>
      </c>
      <c r="C14" s="10">
        <v>566.6</v>
      </c>
      <c r="D14">
        <f t="shared" si="0"/>
        <v>6.3396535873964162</v>
      </c>
      <c r="E14">
        <f t="shared" si="1"/>
        <v>331.03476084246029</v>
      </c>
      <c r="F14">
        <f t="shared" si="2"/>
        <v>11.044956858942966</v>
      </c>
      <c r="G14">
        <f t="shared" si="3"/>
        <v>1.2124890868800784E-2</v>
      </c>
      <c r="H14" s="3">
        <f t="shared" si="4"/>
        <v>367.40943344886261</v>
      </c>
      <c r="I14" s="3">
        <f t="shared" si="5"/>
        <v>4.5220074491680862E-4</v>
      </c>
      <c r="J14" s="14">
        <v>281.39132148774769</v>
      </c>
      <c r="K14" s="14">
        <f t="shared" si="6"/>
        <v>283.47254331707234</v>
      </c>
      <c r="L14" s="49">
        <f t="shared" si="7"/>
        <v>8.2413214877477117</v>
      </c>
      <c r="M14" s="14">
        <f t="shared" si="8"/>
        <v>10.322543317072359</v>
      </c>
      <c r="N14">
        <f t="shared" si="9"/>
        <v>-5.3311701401087248</v>
      </c>
    </row>
    <row r="15" spans="1:14" ht="21" x14ac:dyDescent="0.25">
      <c r="B15" s="10"/>
      <c r="C15" s="10">
        <v>500</v>
      </c>
      <c r="D15">
        <f t="shared" si="0"/>
        <v>6.2146080984221914</v>
      </c>
      <c r="E15">
        <f t="shared" si="1"/>
        <v>337.47991917240591</v>
      </c>
      <c r="F15">
        <f t="shared" si="2"/>
        <v>8.0197551625533414</v>
      </c>
      <c r="G15">
        <f t="shared" si="3"/>
        <v>9.976575422216357E-3</v>
      </c>
      <c r="H15" s="3">
        <f t="shared" si="4"/>
        <v>367.409645439055</v>
      </c>
      <c r="I15" s="3">
        <f t="shared" si="5"/>
        <v>2.4021055253342638E-4</v>
      </c>
      <c r="J15" s="14">
        <v>276.79188777806803</v>
      </c>
      <c r="K15" s="14">
        <f t="shared" si="6"/>
        <v>278.47636321632012</v>
      </c>
      <c r="L15" s="49">
        <f t="shared" si="7"/>
        <v>3.6418877780680532</v>
      </c>
      <c r="M15" s="14">
        <f t="shared" si="8"/>
        <v>5.3263632163201464</v>
      </c>
      <c r="N15">
        <f t="shared" si="9"/>
        <v>-14.739931978135871</v>
      </c>
    </row>
    <row r="16" spans="1:14" ht="21" x14ac:dyDescent="0.25">
      <c r="A16" s="2" t="s">
        <v>10</v>
      </c>
      <c r="B16" s="11"/>
      <c r="C16" s="10">
        <v>485.6</v>
      </c>
      <c r="D16">
        <f t="shared" si="0"/>
        <v>6.1853852397452886</v>
      </c>
      <c r="E16">
        <f t="shared" si="1"/>
        <v>338.94057970126204</v>
      </c>
      <c r="F16">
        <f t="shared" si="2"/>
        <v>7.4087336831868225</v>
      </c>
      <c r="G16">
        <f t="shared" si="3"/>
        <v>9.4897700801939936E-3</v>
      </c>
      <c r="H16" s="3">
        <f t="shared" si="4"/>
        <v>367.40988994184403</v>
      </c>
      <c r="I16" s="3">
        <f t="shared" si="5"/>
        <v>4.2922364968944748E-6</v>
      </c>
      <c r="J16" s="14">
        <v>275.67619754395844</v>
      </c>
      <c r="K16" s="14">
        <f t="shared" si="6"/>
        <v>277.27202082003578</v>
      </c>
      <c r="L16" s="49">
        <f t="shared" si="7"/>
        <v>2.5261975439584603</v>
      </c>
      <c r="M16" s="14">
        <f t="shared" si="8"/>
        <v>4.1220208200358002</v>
      </c>
      <c r="N16">
        <f t="shared" si="9"/>
        <v>-16.890655404792653</v>
      </c>
    </row>
    <row r="17" spans="1:14" ht="21" x14ac:dyDescent="0.25">
      <c r="A17" s="2" t="s">
        <v>11</v>
      </c>
      <c r="B17" s="11"/>
      <c r="C17" s="10">
        <v>468</v>
      </c>
      <c r="D17">
        <f t="shared" si="0"/>
        <v>6.1484682959176471</v>
      </c>
      <c r="E17">
        <f t="shared" si="1"/>
        <v>340.75578180399947</v>
      </c>
      <c r="F17">
        <f t="shared" si="2"/>
        <v>6.6846979614299951</v>
      </c>
      <c r="G17">
        <f t="shared" si="3"/>
        <v>8.884363529934736E-3</v>
      </c>
      <c r="H17" s="3">
        <f t="shared" si="4"/>
        <v>367.40887239380368</v>
      </c>
      <c r="I17" s="3">
        <f t="shared" si="5"/>
        <v>1.0132558038549178E-3</v>
      </c>
      <c r="J17" s="14">
        <v>274.24173477740379</v>
      </c>
      <c r="K17" s="14">
        <f t="shared" si="6"/>
        <v>275.72797737017765</v>
      </c>
      <c r="L17" s="49">
        <f t="shared" si="7"/>
        <v>1.0917347774038149</v>
      </c>
      <c r="M17" s="14">
        <f t="shared" si="8"/>
        <v>2.5779773701776776</v>
      </c>
      <c r="N17">
        <f t="shared" si="9"/>
        <v>-19.582071270349985</v>
      </c>
    </row>
    <row r="18" spans="1:14" ht="21" x14ac:dyDescent="0.25">
      <c r="A18" s="2" t="s">
        <v>12</v>
      </c>
      <c r="B18" s="11"/>
      <c r="C18" s="10">
        <v>464</v>
      </c>
      <c r="D18">
        <f t="shared" si="0"/>
        <v>6.1398845522262553</v>
      </c>
      <c r="E18">
        <f t="shared" si="1"/>
        <v>341.17305382764101</v>
      </c>
      <c r="F18">
        <f t="shared" si="2"/>
        <v>6.5239112507342965</v>
      </c>
      <c r="G18">
        <f t="shared" si="3"/>
        <v>8.7454155128377856E-3</v>
      </c>
      <c r="H18" s="3">
        <f t="shared" si="4"/>
        <v>367.40930036615435</v>
      </c>
      <c r="I18" s="3">
        <f t="shared" si="5"/>
        <v>5.8528345317654384E-4</v>
      </c>
      <c r="J18" s="14">
        <v>273.90430948441997</v>
      </c>
      <c r="K18" s="14">
        <f t="shared" si="6"/>
        <v>275.36550775271087</v>
      </c>
      <c r="L18" s="49">
        <f t="shared" si="7"/>
        <v>0.75430948441999135</v>
      </c>
      <c r="M18" s="14">
        <f t="shared" si="8"/>
        <v>2.2155077527108915</v>
      </c>
      <c r="N18">
        <f t="shared" si="9"/>
        <v>-20.203804558862799</v>
      </c>
    </row>
    <row r="19" spans="1:14" ht="21" x14ac:dyDescent="0.25">
      <c r="A19" s="2" t="s">
        <v>126</v>
      </c>
      <c r="B19" s="11"/>
      <c r="C19" s="10">
        <v>461</v>
      </c>
      <c r="D19">
        <f t="shared" si="0"/>
        <v>6.1333980429966486</v>
      </c>
      <c r="E19">
        <f t="shared" si="1"/>
        <v>341.48696085001546</v>
      </c>
      <c r="F19">
        <f t="shared" si="2"/>
        <v>6.4042007536898238</v>
      </c>
      <c r="G19">
        <f t="shared" si="3"/>
        <v>8.6408088260196761E-3</v>
      </c>
      <c r="H19" s="3">
        <f t="shared" si="4"/>
        <v>367.4093873280745</v>
      </c>
      <c r="I19" s="3">
        <f t="shared" si="5"/>
        <v>4.9832153302986626E-4</v>
      </c>
      <c r="J19" s="14">
        <v>273.64819643597184</v>
      </c>
      <c r="K19" s="14">
        <f t="shared" si="6"/>
        <v>275.09056690407476</v>
      </c>
      <c r="L19" s="49">
        <f t="shared" si="7"/>
        <v>0.49819643597186314</v>
      </c>
      <c r="M19" s="14">
        <f t="shared" si="8"/>
        <v>1.9405669040747853</v>
      </c>
      <c r="N19">
        <f t="shared" si="9"/>
        <v>-20.672620584101765</v>
      </c>
    </row>
    <row r="20" spans="1:14" ht="21" x14ac:dyDescent="0.25">
      <c r="A20" s="2" t="s">
        <v>127</v>
      </c>
      <c r="B20" s="11"/>
      <c r="C20" s="10">
        <v>448.5</v>
      </c>
      <c r="D20">
        <f t="shared" si="0"/>
        <v>6.1059086814988506</v>
      </c>
      <c r="E20">
        <f t="shared" si="1"/>
        <v>342.80409615147522</v>
      </c>
      <c r="F20">
        <f t="shared" si="2"/>
        <v>5.914013570011643</v>
      </c>
      <c r="G20">
        <f t="shared" si="3"/>
        <v>8.2018203802614095E-3</v>
      </c>
      <c r="H20" s="3">
        <f t="shared" si="4"/>
        <v>367.40955729225948</v>
      </c>
      <c r="I20" s="3">
        <f t="shared" si="5"/>
        <v>3.2835734805303218E-4</v>
      </c>
      <c r="J20" s="14">
        <v>272.55243261819032</v>
      </c>
      <c r="K20" s="14">
        <f t="shared" si="6"/>
        <v>273.91604253707834</v>
      </c>
      <c r="L20" s="49">
        <f t="shared" si="7"/>
        <v>-0.59756738180965385</v>
      </c>
      <c r="M20" s="14">
        <f t="shared" si="8"/>
        <v>0.76604253707836278</v>
      </c>
      <c r="N20">
        <f t="shared" si="9"/>
        <v>-22.649804530433272</v>
      </c>
    </row>
    <row r="21" spans="1:14" ht="21" x14ac:dyDescent="0.25">
      <c r="A21" s="2" t="s">
        <v>13</v>
      </c>
      <c r="B21" s="11"/>
      <c r="C21" s="10">
        <v>438</v>
      </c>
      <c r="D21">
        <f t="shared" si="0"/>
        <v>6.0822189103764464</v>
      </c>
      <c r="E21">
        <f t="shared" si="1"/>
        <v>343.9212225813659</v>
      </c>
      <c r="F21">
        <f t="shared" si="2"/>
        <v>5.5133188690169295</v>
      </c>
      <c r="G21">
        <f t="shared" si="3"/>
        <v>7.8294162934441323E-3</v>
      </c>
      <c r="H21" s="3">
        <f t="shared" si="4"/>
        <v>367.40947146169827</v>
      </c>
      <c r="I21" s="3">
        <f t="shared" si="5"/>
        <v>4.1418790925717985E-4</v>
      </c>
      <c r="J21" s="14">
        <v>271.59425026665673</v>
      </c>
      <c r="K21" s="14">
        <f t="shared" si="6"/>
        <v>272.89136918008529</v>
      </c>
      <c r="L21" s="49">
        <f t="shared" si="7"/>
        <v>-1.555749733343248</v>
      </c>
      <c r="M21" s="14">
        <f t="shared" si="8"/>
        <v>-0.25863081991468562</v>
      </c>
      <c r="N21">
        <f t="shared" si="9"/>
        <v>-24.341275566507676</v>
      </c>
    </row>
    <row r="22" spans="1:14" ht="21" x14ac:dyDescent="0.25">
      <c r="B22" s="10"/>
      <c r="C22" s="10">
        <v>400</v>
      </c>
      <c r="D22">
        <f t="shared" si="0"/>
        <v>5.9914645471079817</v>
      </c>
      <c r="E22">
        <f t="shared" si="1"/>
        <v>348.02939014272124</v>
      </c>
      <c r="F22">
        <f t="shared" si="2"/>
        <v>4.1543926575058734</v>
      </c>
      <c r="G22">
        <f t="shared" si="3"/>
        <v>6.4600805824216335E-3</v>
      </c>
      <c r="H22" s="3">
        <f t="shared" si="4"/>
        <v>367.40963188998614</v>
      </c>
      <c r="I22" s="3">
        <f t="shared" si="5"/>
        <v>2.5375962138696195E-4</v>
      </c>
      <c r="J22" s="14">
        <v>267.79661183415794</v>
      </c>
      <c r="K22" s="14">
        <f t="shared" si="6"/>
        <v>268.8519043263683</v>
      </c>
      <c r="L22" s="49">
        <f t="shared" si="7"/>
        <v>-5.3533881658420341</v>
      </c>
      <c r="M22" s="14">
        <f t="shared" si="8"/>
        <v>-4.2980956736316784</v>
      </c>
      <c r="N22">
        <f t="shared" si="9"/>
        <v>-30.716201215051456</v>
      </c>
    </row>
    <row r="23" spans="1:14" ht="24" x14ac:dyDescent="0.3">
      <c r="A23" s="7" t="s">
        <v>143</v>
      </c>
      <c r="B23" s="12"/>
      <c r="C23" s="10">
        <v>397.3</v>
      </c>
      <c r="D23">
        <f t="shared" si="0"/>
        <v>5.9846916628205529</v>
      </c>
      <c r="E23">
        <f t="shared" si="1"/>
        <v>348.32395090774827</v>
      </c>
      <c r="F23">
        <f t="shared" si="2"/>
        <v>4.0636129563302417</v>
      </c>
      <c r="G23">
        <f t="shared" si="3"/>
        <v>6.3618607068648639E-3</v>
      </c>
      <c r="H23" s="3">
        <f t="shared" si="4"/>
        <v>367.40953302834288</v>
      </c>
      <c r="I23" s="3">
        <f t="shared" si="5"/>
        <v>3.5262126465340771E-4</v>
      </c>
      <c r="J23" s="14">
        <v>267.50459558694274</v>
      </c>
      <c r="K23" s="14">
        <f t="shared" si="6"/>
        <v>268.54271004204065</v>
      </c>
      <c r="L23" s="49">
        <f t="shared" si="7"/>
        <v>-5.6454044130572356</v>
      </c>
      <c r="M23" s="14">
        <f t="shared" si="8"/>
        <v>-4.6072899579593241</v>
      </c>
      <c r="N23">
        <f t="shared" si="9"/>
        <v>-31.185351840471725</v>
      </c>
    </row>
    <row r="24" spans="1:14" ht="24" x14ac:dyDescent="0.3">
      <c r="A24" s="7" t="s">
        <v>133</v>
      </c>
      <c r="B24" s="12"/>
      <c r="C24" s="10">
        <v>356</v>
      </c>
      <c r="D24">
        <f t="shared" si="0"/>
        <v>5.8749307308520304</v>
      </c>
      <c r="E24">
        <f t="shared" si="1"/>
        <v>352.83021871267965</v>
      </c>
      <c r="F24">
        <f t="shared" si="2"/>
        <v>2.7814522364868086</v>
      </c>
      <c r="G24">
        <f t="shared" si="3"/>
        <v>4.8597283457718953E-3</v>
      </c>
      <c r="H24" s="3">
        <f t="shared" si="4"/>
        <v>367.40940374999536</v>
      </c>
      <c r="I24" s="3">
        <f t="shared" si="5"/>
        <v>4.8189961216849042E-4</v>
      </c>
      <c r="J24" s="14">
        <v>262.59138470226787</v>
      </c>
      <c r="K24" s="14">
        <f t="shared" si="6"/>
        <v>263.36981960757964</v>
      </c>
      <c r="L24" s="49">
        <f t="shared" si="7"/>
        <v>-10.558615297732103</v>
      </c>
      <c r="M24" s="14">
        <f t="shared" si="8"/>
        <v>-9.7801803924203341</v>
      </c>
      <c r="N24">
        <f t="shared" si="9"/>
        <v>-38.663033365662159</v>
      </c>
    </row>
    <row r="25" spans="1:14" ht="48" x14ac:dyDescent="0.3">
      <c r="A25" s="8" t="s">
        <v>41</v>
      </c>
      <c r="B25" s="9"/>
      <c r="C25" s="10">
        <v>336</v>
      </c>
      <c r="D25">
        <f t="shared" si="0"/>
        <v>5.8171111599632042</v>
      </c>
      <c r="E25">
        <f t="shared" si="1"/>
        <v>354.97807609576637</v>
      </c>
      <c r="F25">
        <f t="shared" si="2"/>
        <v>2.2384597513055446</v>
      </c>
      <c r="G25">
        <f t="shared" si="3"/>
        <v>4.143815372952526E-3</v>
      </c>
      <c r="H25" s="3">
        <f t="shared" si="4"/>
        <v>367.40952221462396</v>
      </c>
      <c r="I25" s="3">
        <f t="shared" si="5"/>
        <v>3.6343498356927739E-4</v>
      </c>
      <c r="J25" s="14">
        <v>259.85708636145324</v>
      </c>
      <c r="K25" s="14">
        <f t="shared" si="6"/>
        <v>260.51393423288675</v>
      </c>
      <c r="L25" s="49">
        <f t="shared" si="7"/>
        <v>-13.292913638546736</v>
      </c>
      <c r="M25" s="14">
        <f t="shared" si="8"/>
        <v>-12.636065767113223</v>
      </c>
      <c r="N25">
        <f t="shared" si="9"/>
        <v>-42.508718479205697</v>
      </c>
    </row>
    <row r="26" spans="1:14" ht="24" x14ac:dyDescent="0.3">
      <c r="A26" s="7" t="s">
        <v>134</v>
      </c>
      <c r="B26" s="12"/>
      <c r="C26" s="10">
        <v>331</v>
      </c>
      <c r="D26">
        <f t="shared" si="0"/>
        <v>5.8021183753770629</v>
      </c>
      <c r="E26">
        <f t="shared" si="1"/>
        <v>355.50707734605754</v>
      </c>
      <c r="F26">
        <f t="shared" si="2"/>
        <v>2.1113546442045026</v>
      </c>
      <c r="G26">
        <f t="shared" si="3"/>
        <v>3.9675606909220559E-3</v>
      </c>
      <c r="H26" s="3">
        <f t="shared" si="4"/>
        <v>367.40975941882368</v>
      </c>
      <c r="I26" s="3">
        <f t="shared" si="5"/>
        <v>1.2623078384876862E-4</v>
      </c>
      <c r="J26" s="14">
        <v>259.1308127583801</v>
      </c>
      <c r="K26" s="14">
        <f t="shared" si="6"/>
        <v>259.75796426654927</v>
      </c>
      <c r="L26" s="49">
        <f t="shared" si="7"/>
        <v>-14.019187241619875</v>
      </c>
      <c r="M26" s="14">
        <f t="shared" si="8"/>
        <v>-13.392035733450712</v>
      </c>
      <c r="N26">
        <f t="shared" si="9"/>
        <v>-43.495576319765433</v>
      </c>
    </row>
    <row r="27" spans="1:14" ht="24" x14ac:dyDescent="0.3">
      <c r="A27" s="7" t="s">
        <v>135</v>
      </c>
      <c r="B27" s="12"/>
      <c r="C27" s="10">
        <v>311</v>
      </c>
      <c r="D27">
        <f t="shared" si="0"/>
        <v>5.7397929121792339</v>
      </c>
      <c r="E27">
        <f t="shared" si="1"/>
        <v>357.57435240569271</v>
      </c>
      <c r="F27">
        <f t="shared" si="2"/>
        <v>1.6392764519432297</v>
      </c>
      <c r="G27">
        <f t="shared" si="3"/>
        <v>3.2785529038864589E-3</v>
      </c>
      <c r="H27" s="3">
        <f t="shared" si="4"/>
        <v>367.4100111173521</v>
      </c>
      <c r="I27" s="3">
        <f t="shared" si="5"/>
        <v>1.2546774456723142E-4</v>
      </c>
      <c r="J27" s="14">
        <v>256.03293341585299</v>
      </c>
      <c r="K27" s="14">
        <f t="shared" si="6"/>
        <v>256.54497810143107</v>
      </c>
      <c r="L27" s="49">
        <f t="shared" si="7"/>
        <v>-17.117066584146983</v>
      </c>
      <c r="M27" s="14">
        <f t="shared" si="8"/>
        <v>-16.605021898568907</v>
      </c>
      <c r="N27">
        <f t="shared" si="9"/>
        <v>-47.552916720019567</v>
      </c>
    </row>
    <row r="28" spans="1:14" ht="48" x14ac:dyDescent="0.3">
      <c r="A28" s="8" t="s">
        <v>48</v>
      </c>
      <c r="B28" s="10"/>
      <c r="C28" s="10">
        <v>300</v>
      </c>
      <c r="D28">
        <f t="shared" si="0"/>
        <v>5.7037824746562009</v>
      </c>
      <c r="E28">
        <f t="shared" si="1"/>
        <v>358.66807936902723</v>
      </c>
      <c r="F28">
        <f t="shared" si="2"/>
        <v>1.4054104094161497</v>
      </c>
      <c r="G28">
        <f t="shared" si="3"/>
        <v>2.9138842488561504E-3</v>
      </c>
      <c r="H28" s="3">
        <f t="shared" si="4"/>
        <v>367.40973211559566</v>
      </c>
      <c r="I28" s="3">
        <f t="shared" si="5"/>
        <v>1.5353401187212512E-4</v>
      </c>
      <c r="J28" s="14">
        <v>254.18470016614401</v>
      </c>
      <c r="K28" s="14">
        <f t="shared" si="6"/>
        <v>254.63650569055375</v>
      </c>
      <c r="L28" s="49">
        <f t="shared" si="7"/>
        <v>-18.965299833855966</v>
      </c>
      <c r="M28" s="14">
        <f t="shared" si="8"/>
        <v>-18.51349430944623</v>
      </c>
      <c r="N28">
        <f t="shared" si="9"/>
        <v>-49.86441425557291</v>
      </c>
    </row>
    <row r="29" spans="1:14" ht="21" x14ac:dyDescent="0.25">
      <c r="B29" s="10"/>
      <c r="C29" s="10">
        <v>285</v>
      </c>
      <c r="D29">
        <f t="shared" si="0"/>
        <v>5.6524891802686508</v>
      </c>
      <c r="E29">
        <f t="shared" si="1"/>
        <v>360.09399816047306</v>
      </c>
      <c r="F29">
        <f t="shared" si="2"/>
        <v>1.11728392597615</v>
      </c>
      <c r="G29">
        <f t="shared" si="3"/>
        <v>2.4384231647619835E-3</v>
      </c>
      <c r="H29" s="3">
        <f t="shared" si="4"/>
        <v>367.40926765475899</v>
      </c>
      <c r="I29" s="3">
        <f t="shared" si="5"/>
        <v>6.1799484853963804E-4</v>
      </c>
      <c r="J29" s="14">
        <v>251.47887730080532</v>
      </c>
      <c r="K29" s="14">
        <f t="shared" si="6"/>
        <v>251.85293657191909</v>
      </c>
      <c r="L29" s="49">
        <f t="shared" si="7"/>
        <v>-21.671122699194655</v>
      </c>
      <c r="M29" s="14">
        <f t="shared" si="8"/>
        <v>-21.297063428080889</v>
      </c>
      <c r="N29">
        <f t="shared" si="9"/>
        <v>-53.116078414730225</v>
      </c>
    </row>
    <row r="30" spans="1:14" ht="21" x14ac:dyDescent="0.25">
      <c r="B30" s="10"/>
      <c r="C30" s="10">
        <v>250</v>
      </c>
      <c r="D30">
        <f t="shared" si="0"/>
        <v>5.521460917862246</v>
      </c>
      <c r="E30">
        <f t="shared" si="1"/>
        <v>363.02294381228222</v>
      </c>
      <c r="F30">
        <f t="shared" si="2"/>
        <v>0.58769126128850213</v>
      </c>
      <c r="G30">
        <f t="shared" si="3"/>
        <v>1.4621758580857934E-3</v>
      </c>
      <c r="H30" s="3">
        <f t="shared" si="4"/>
        <v>367.40947138653962</v>
      </c>
      <c r="I30" s="3">
        <f t="shared" si="5"/>
        <v>4.1426306790981471E-4</v>
      </c>
      <c r="J30" s="14">
        <v>244.19958227305295</v>
      </c>
      <c r="K30" s="14">
        <f t="shared" si="6"/>
        <v>244.41739054064305</v>
      </c>
      <c r="L30" s="49">
        <f t="shared" si="7"/>
        <v>-28.950417726947023</v>
      </c>
      <c r="M30" s="14">
        <f t="shared" si="8"/>
        <v>-28.732609459356922</v>
      </c>
      <c r="N30">
        <f t="shared" si="9"/>
        <v>-61.209062227963614</v>
      </c>
    </row>
    <row r="31" spans="1:14" ht="21" x14ac:dyDescent="0.25">
      <c r="B31" s="10"/>
      <c r="C31" s="10">
        <v>217</v>
      </c>
      <c r="D31">
        <f t="shared" si="0"/>
        <v>5.3798973535404597</v>
      </c>
      <c r="E31">
        <f t="shared" si="1"/>
        <v>365.10514805785095</v>
      </c>
      <c r="F31">
        <f t="shared" si="2"/>
        <v>0.26799268547595273</v>
      </c>
      <c r="G31">
        <f t="shared" si="3"/>
        <v>7.6816336574213177E-4</v>
      </c>
      <c r="H31" s="3">
        <f t="shared" si="4"/>
        <v>367.40963815507735</v>
      </c>
      <c r="I31" s="3">
        <f t="shared" si="5"/>
        <v>2.4749453018557688E-4</v>
      </c>
      <c r="J31" s="14">
        <v>235.85519171954732</v>
      </c>
      <c r="K31" s="14">
        <f t="shared" si="6"/>
        <v>235.96570866346576</v>
      </c>
      <c r="L31" s="49">
        <f t="shared" si="7"/>
        <v>-37.294808280452656</v>
      </c>
      <c r="M31" s="14">
        <f t="shared" si="8"/>
        <v>-37.184291336534216</v>
      </c>
      <c r="N31">
        <f t="shared" si="9"/>
        <v>-69.618565743183495</v>
      </c>
    </row>
    <row r="32" spans="1:14" ht="21" x14ac:dyDescent="0.25">
      <c r="B32" s="10"/>
      <c r="C32" s="10">
        <v>200</v>
      </c>
      <c r="D32">
        <f t="shared" si="0"/>
        <v>5.2983173665480363</v>
      </c>
      <c r="E32">
        <f t="shared" si="1"/>
        <v>365.88181357775255</v>
      </c>
      <c r="F32">
        <f t="shared" si="2"/>
        <v>0.16376241591402382</v>
      </c>
      <c r="G32">
        <f t="shared" si="3"/>
        <v>5.0930111349261416E-4</v>
      </c>
      <c r="H32" s="3">
        <f t="shared" si="4"/>
        <v>367.4097169182304</v>
      </c>
      <c r="I32" s="3">
        <f t="shared" si="5"/>
        <v>1.6873137712991593E-4</v>
      </c>
      <c r="J32" s="14">
        <v>230.90609773733846</v>
      </c>
      <c r="K32" s="14">
        <f t="shared" si="6"/>
        <v>230.97783418427926</v>
      </c>
      <c r="L32" s="49">
        <f t="shared" si="7"/>
        <v>-42.243902262661521</v>
      </c>
      <c r="M32" s="14">
        <f t="shared" si="8"/>
        <v>-42.172165815720717</v>
      </c>
      <c r="N32">
        <f t="shared" si="9"/>
        <v>-74.312365478067392</v>
      </c>
    </row>
    <row r="33" spans="2:14" ht="21" x14ac:dyDescent="0.25">
      <c r="B33" s="10"/>
      <c r="C33" s="10">
        <v>166</v>
      </c>
      <c r="D33">
        <f t="shared" si="0"/>
        <v>5.1119877883565437</v>
      </c>
      <c r="E33">
        <f t="shared" si="1"/>
        <v>366.86540588910208</v>
      </c>
      <c r="F33">
        <f t="shared" si="2"/>
        <v>4.8423981449048678E-2</v>
      </c>
      <c r="G33">
        <f t="shared" si="3"/>
        <v>1.8144407506812216E-4</v>
      </c>
      <c r="H33" s="3">
        <f t="shared" si="4"/>
        <v>367.40973811430644</v>
      </c>
      <c r="I33" s="3">
        <f t="shared" si="5"/>
        <v>1.4753530109601343E-4</v>
      </c>
      <c r="J33" s="14">
        <v>219.51170065129602</v>
      </c>
      <c r="K33" s="14">
        <f t="shared" si="6"/>
        <v>219.53599640076573</v>
      </c>
      <c r="L33" s="49">
        <f t="shared" si="7"/>
        <v>-53.638299348703953</v>
      </c>
      <c r="M33" s="14">
        <f t="shared" si="8"/>
        <v>-53.614003599234252</v>
      </c>
      <c r="N33">
        <f t="shared" si="9"/>
        <v>-84.631089011286463</v>
      </c>
    </row>
    <row r="34" spans="2:14" ht="21" x14ac:dyDescent="0.25">
      <c r="B34" s="10"/>
      <c r="C34" s="10">
        <v>154</v>
      </c>
      <c r="D34">
        <f t="shared" si="0"/>
        <v>5.0369526024136295</v>
      </c>
      <c r="E34">
        <f t="shared" si="1"/>
        <v>367.06151420943036</v>
      </c>
      <c r="F34">
        <f t="shared" si="2"/>
        <v>2.8728007422467561E-2</v>
      </c>
      <c r="G34">
        <f t="shared" si="3"/>
        <v>1.1603130270633001E-4</v>
      </c>
      <c r="H34" s="3">
        <f t="shared" si="4"/>
        <v>367.40960811754934</v>
      </c>
      <c r="I34" s="3">
        <f t="shared" si="5"/>
        <v>2.7753205819180948E-4</v>
      </c>
      <c r="J34" s="14">
        <v>214.9660013054129</v>
      </c>
      <c r="K34" s="14">
        <f t="shared" si="6"/>
        <v>214.98121640436599</v>
      </c>
      <c r="L34" s="49">
        <f t="shared" si="7"/>
        <v>-58.183998694587075</v>
      </c>
      <c r="M34" s="14">
        <f t="shared" si="8"/>
        <v>-58.168783595633982</v>
      </c>
      <c r="N34">
        <f t="shared" si="9"/>
        <v>-88.633615904429945</v>
      </c>
    </row>
    <row r="35" spans="2:14" ht="21" x14ac:dyDescent="0.25">
      <c r="B35" s="10"/>
      <c r="C35" s="10">
        <v>150</v>
      </c>
      <c r="D35">
        <f t="shared" si="0"/>
        <v>5.0106352940962555</v>
      </c>
      <c r="E35">
        <f t="shared" si="1"/>
        <v>367.11308309451329</v>
      </c>
      <c r="F35">
        <f t="shared" si="2"/>
        <v>2.3830133722868675E-2</v>
      </c>
      <c r="G35">
        <f t="shared" si="3"/>
        <v>9.8815621170828772E-5</v>
      </c>
      <c r="H35" s="3">
        <f t="shared" si="4"/>
        <v>367.40952995802576</v>
      </c>
      <c r="I35" s="3">
        <f t="shared" si="5"/>
        <v>3.5569158177395366E-4</v>
      </c>
      <c r="J35" s="14">
        <v>213.38405414649623</v>
      </c>
      <c r="K35" s="14">
        <f t="shared" si="6"/>
        <v>213.39691640998987</v>
      </c>
      <c r="L35" s="49">
        <f t="shared" si="7"/>
        <v>-59.765945853503752</v>
      </c>
      <c r="M35" s="14">
        <f t="shared" si="8"/>
        <v>-59.753083590010107</v>
      </c>
      <c r="N35">
        <f t="shared" si="9"/>
        <v>-90.017211111726965</v>
      </c>
    </row>
    <row r="36" spans="2:14" ht="21" x14ac:dyDescent="0.25">
      <c r="B36" s="10"/>
      <c r="C36" s="10">
        <v>139.1</v>
      </c>
      <c r="D36">
        <f t="shared" si="0"/>
        <v>4.9351930989293971</v>
      </c>
      <c r="E36">
        <f t="shared" si="1"/>
        <v>367.22465297177416</v>
      </c>
      <c r="F36">
        <f t="shared" si="2"/>
        <v>1.3802286168694701E-2</v>
      </c>
      <c r="G36">
        <f t="shared" si="3"/>
        <v>6.1718346491215705E-5</v>
      </c>
      <c r="H36" s="3">
        <f t="shared" si="4"/>
        <v>367.40980801124783</v>
      </c>
      <c r="I36" s="3">
        <f t="shared" si="5"/>
        <v>7.7638359698539716E-5</v>
      </c>
      <c r="J36" s="14">
        <v>208.89276010222312</v>
      </c>
      <c r="K36" s="14">
        <f t="shared" si="6"/>
        <v>208.90062453682907</v>
      </c>
      <c r="L36" s="49">
        <f t="shared" si="7"/>
        <v>-64.257239897776856</v>
      </c>
      <c r="M36" s="14">
        <f t="shared" si="8"/>
        <v>-64.249375463170907</v>
      </c>
      <c r="N36">
        <f t="shared" si="9"/>
        <v>-93.926246597222701</v>
      </c>
    </row>
    <row r="37" spans="2:14" ht="24" x14ac:dyDescent="0.3">
      <c r="B37" s="9" t="s">
        <v>43</v>
      </c>
      <c r="C37" s="17">
        <v>134</v>
      </c>
      <c r="D37">
        <f t="shared" si="0"/>
        <v>4.8978397999509111</v>
      </c>
      <c r="E37">
        <f t="shared" si="1"/>
        <v>367.26401363630549</v>
      </c>
      <c r="F37">
        <f t="shared" si="2"/>
        <v>1.0474808861080556E-2</v>
      </c>
      <c r="G37">
        <f t="shared" si="3"/>
        <v>4.8621873967105271E-5</v>
      </c>
      <c r="H37" s="3">
        <f t="shared" si="4"/>
        <v>367.40987925820679</v>
      </c>
      <c r="I37" s="3">
        <f t="shared" si="5"/>
        <v>6.3914007455423416E-6</v>
      </c>
      <c r="J37" s="14">
        <v>206.69517959249509</v>
      </c>
      <c r="K37" s="14">
        <f t="shared" si="6"/>
        <v>206.70131003574787</v>
      </c>
      <c r="L37" s="49">
        <f t="shared" si="7"/>
        <v>-66.454820407504883</v>
      </c>
      <c r="M37" s="14">
        <f t="shared" si="8"/>
        <v>-66.448689964252111</v>
      </c>
      <c r="N37">
        <f t="shared" si="9"/>
        <v>-95.830710902350347</v>
      </c>
    </row>
  </sheetData>
  <pageMargins left="0.75" right="0.75" top="1" bottom="1" header="0.5" footer="0.5"/>
  <pageSetup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CAPEtheory</vt:lpstr>
      <vt:lpstr>PrecipWaterTheory</vt:lpstr>
      <vt:lpstr>ExampleSounding</vt:lpstr>
      <vt:lpstr>CalcT_Along_MoistAdiabat</vt:lpstr>
    </vt:vector>
  </TitlesOfParts>
  <Company>Home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Arnott</dc:creator>
  <cp:lastModifiedBy>Microsoft Office User</cp:lastModifiedBy>
  <dcterms:created xsi:type="dcterms:W3CDTF">2015-10-11T07:45:52Z</dcterms:created>
  <dcterms:modified xsi:type="dcterms:W3CDTF">2017-10-08T22:22:06Z</dcterms:modified>
</cp:coreProperties>
</file>